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odeName="ThisWorkbook" autoCompressPictures="0"/>
  <bookViews>
    <workbookView xWindow="0" yWindow="0" windowWidth="25600" windowHeight="14580" tabRatio="943"/>
  </bookViews>
  <sheets>
    <sheet name="QTR Sep 16" sheetId="27" r:id="rId1"/>
    <sheet name="Quarterly" sheetId="2" state="hidden" r:id="rId2"/>
    <sheet name="Segment_P&amp;L 2005" sheetId="15" state="hidden" r:id="rId3"/>
    <sheet name="GRP RECOVERY" sheetId="24" state="hidden" r:id="rId4"/>
    <sheet name="Seg PL MAR 2007" sheetId="33" state="hidden" r:id="rId5"/>
    <sheet name="Slides" sheetId="31" state="hidden" r:id="rId6"/>
    <sheet name="oth income 2005" sheetId="22" state="hidden" r:id="rId7"/>
    <sheet name="LSC PROCESS" sheetId="17" state="hidden" r:id="rId8"/>
    <sheet name="stock" sheetId="7" state="hidden" r:id="rId9"/>
    <sheet name="Tbp_data" sheetId="3" state="hidden" r:id="rId10"/>
  </sheets>
  <externalReferences>
    <externalReference r:id="rId11"/>
  </externalReferences>
  <definedNames>
    <definedName name="_Order1" hidden="1">255</definedName>
    <definedName name="_Order2" hidden="1">0</definedName>
    <definedName name="JUNE2000">#REF!</definedName>
    <definedName name="_xlnm.Print_Area" localSheetId="3">'GRP RECOVERY'!$A$1:$H$31</definedName>
    <definedName name="_xlnm.Print_Area" localSheetId="6">'oth income 2005'!$A$1:$I$30</definedName>
    <definedName name="_xlnm.Print_Area" localSheetId="0">'QTR Sep 16'!$B$1:$K$62</definedName>
    <definedName name="_xlnm.Print_Area" localSheetId="1">Quarterly!$B$1:$S$64</definedName>
    <definedName name="_xlnm.Print_Area" localSheetId="4">'Seg PL MAR 2007'!$A$1:$J$54</definedName>
    <definedName name="_xlnm.Print_Area" localSheetId="2">'Segment_P&amp;L 2005'!$L$160:$U$206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31" l="1"/>
  <c r="E44" i="31"/>
  <c r="G22" i="33"/>
  <c r="G24" i="33"/>
  <c r="H8" i="33"/>
  <c r="C25" i="33"/>
  <c r="F22" i="33"/>
  <c r="E22" i="33"/>
  <c r="B22" i="33"/>
  <c r="B26" i="33"/>
  <c r="D22" i="33"/>
  <c r="J22" i="33"/>
  <c r="J80" i="33"/>
  <c r="C22" i="33"/>
  <c r="C80" i="33"/>
  <c r="C132" i="33"/>
  <c r="G127" i="33"/>
  <c r="G128" i="33"/>
  <c r="F128" i="33"/>
  <c r="E128" i="33"/>
  <c r="D128" i="33"/>
  <c r="C128" i="33"/>
  <c r="D28" i="33"/>
  <c r="C21" i="33"/>
  <c r="I21" i="33"/>
  <c r="I79" i="33"/>
  <c r="H66" i="33"/>
  <c r="H30" i="33"/>
  <c r="D31" i="33"/>
  <c r="H32" i="33"/>
  <c r="H90" i="33"/>
  <c r="H33" i="33"/>
  <c r="H91" i="33"/>
  <c r="C34" i="33"/>
  <c r="D34" i="33"/>
  <c r="E34" i="33"/>
  <c r="F34" i="33"/>
  <c r="G95" i="33"/>
  <c r="G96" i="33"/>
  <c r="G97" i="33"/>
  <c r="G98" i="33"/>
  <c r="G99" i="33"/>
  <c r="H99" i="33"/>
  <c r="H51" i="33"/>
  <c r="H108" i="33"/>
  <c r="I108" i="33"/>
  <c r="H89" i="33"/>
  <c r="H23" i="33"/>
  <c r="H81" i="33"/>
  <c r="G101" i="33"/>
  <c r="G45" i="33"/>
  <c r="G102" i="33"/>
  <c r="G103" i="33"/>
  <c r="G104" i="33"/>
  <c r="G105" i="33"/>
  <c r="J30" i="33"/>
  <c r="J88" i="33"/>
  <c r="J32" i="33"/>
  <c r="J33" i="33"/>
  <c r="J91" i="33"/>
  <c r="I30" i="33"/>
  <c r="I32" i="33"/>
  <c r="I90" i="33"/>
  <c r="I33" i="33"/>
  <c r="I91" i="33"/>
  <c r="I34" i="33"/>
  <c r="G91" i="33"/>
  <c r="F91" i="33"/>
  <c r="E91" i="33"/>
  <c r="D91" i="33"/>
  <c r="C91" i="33"/>
  <c r="B91" i="33"/>
  <c r="J90" i="33"/>
  <c r="G90" i="33"/>
  <c r="F90" i="33"/>
  <c r="E90" i="33"/>
  <c r="D90" i="33"/>
  <c r="C90" i="33"/>
  <c r="B90" i="33"/>
  <c r="G89" i="33"/>
  <c r="B89" i="33"/>
  <c r="I88" i="33"/>
  <c r="G88" i="33"/>
  <c r="F88" i="33"/>
  <c r="E88" i="33"/>
  <c r="D88" i="33"/>
  <c r="C88" i="33"/>
  <c r="B88" i="33"/>
  <c r="J27" i="33"/>
  <c r="J85" i="33"/>
  <c r="I27" i="33"/>
  <c r="I85" i="33"/>
  <c r="H27" i="33"/>
  <c r="H85" i="33"/>
  <c r="G85" i="33"/>
  <c r="F85" i="33"/>
  <c r="E85" i="33"/>
  <c r="B85" i="33"/>
  <c r="E78" i="33"/>
  <c r="D85" i="33"/>
  <c r="C85" i="33"/>
  <c r="C78" i="33"/>
  <c r="F78" i="33"/>
  <c r="I22" i="33"/>
  <c r="I80" i="33"/>
  <c r="I23" i="33"/>
  <c r="I24" i="33"/>
  <c r="I82" i="33"/>
  <c r="B83" i="33"/>
  <c r="J24" i="33"/>
  <c r="J82" i="33"/>
  <c r="F82" i="33"/>
  <c r="E82" i="33"/>
  <c r="D82" i="33"/>
  <c r="C82" i="33"/>
  <c r="B82" i="33"/>
  <c r="J23" i="33"/>
  <c r="J81" i="33"/>
  <c r="I81" i="33"/>
  <c r="G81" i="33"/>
  <c r="F81" i="33"/>
  <c r="E81" i="33"/>
  <c r="D81" i="33"/>
  <c r="C81" i="33"/>
  <c r="B81" i="33"/>
  <c r="G80" i="33"/>
  <c r="F80" i="33"/>
  <c r="E80" i="33"/>
  <c r="B80" i="33"/>
  <c r="J21" i="33"/>
  <c r="J79" i="33"/>
  <c r="G79" i="33"/>
  <c r="F79" i="33"/>
  <c r="E79" i="33"/>
  <c r="D79" i="33"/>
  <c r="C79" i="33"/>
  <c r="B79" i="33"/>
  <c r="D78" i="33"/>
  <c r="D13" i="33"/>
  <c r="H14" i="33"/>
  <c r="C15" i="33"/>
  <c r="C73" i="33"/>
  <c r="D15" i="33"/>
  <c r="E10" i="33"/>
  <c r="E15" i="33"/>
  <c r="F13" i="33"/>
  <c r="F15" i="33"/>
  <c r="F73" i="33"/>
  <c r="C10" i="33"/>
  <c r="B13" i="33"/>
  <c r="B15" i="33"/>
  <c r="B16" i="33"/>
  <c r="B74" i="33"/>
  <c r="G13" i="33"/>
  <c r="G71" i="33"/>
  <c r="H73" i="33"/>
  <c r="E73" i="33"/>
  <c r="J14" i="33"/>
  <c r="J72" i="33"/>
  <c r="I14" i="33"/>
  <c r="I72" i="33"/>
  <c r="H72" i="33"/>
  <c r="G72" i="33"/>
  <c r="F72" i="33"/>
  <c r="E72" i="33"/>
  <c r="D72" i="33"/>
  <c r="C72" i="33"/>
  <c r="B72" i="33"/>
  <c r="I9" i="33"/>
  <c r="I12" i="33"/>
  <c r="I70" i="33"/>
  <c r="I11" i="33"/>
  <c r="I69" i="33"/>
  <c r="H9" i="33"/>
  <c r="H67" i="33"/>
  <c r="H12" i="33"/>
  <c r="H70" i="33"/>
  <c r="H11" i="33"/>
  <c r="H69" i="33"/>
  <c r="B71" i="33"/>
  <c r="J12" i="33"/>
  <c r="J70" i="33"/>
  <c r="G70" i="33"/>
  <c r="F70" i="33"/>
  <c r="E70" i="33"/>
  <c r="D70" i="33"/>
  <c r="C70" i="33"/>
  <c r="B70" i="33"/>
  <c r="J11" i="33"/>
  <c r="J69" i="33"/>
  <c r="G69" i="33"/>
  <c r="F69" i="33"/>
  <c r="E69" i="33"/>
  <c r="D69" i="33"/>
  <c r="C69" i="33"/>
  <c r="B69" i="33"/>
  <c r="G68" i="33"/>
  <c r="F68" i="33"/>
  <c r="D68" i="33"/>
  <c r="B68" i="33"/>
  <c r="J9" i="33"/>
  <c r="J67" i="33"/>
  <c r="G67" i="33"/>
  <c r="F67" i="33"/>
  <c r="E67" i="33"/>
  <c r="D67" i="33"/>
  <c r="C67" i="33"/>
  <c r="B67" i="33"/>
  <c r="J8" i="33"/>
  <c r="J66" i="33"/>
  <c r="I8" i="33"/>
  <c r="I66" i="33"/>
  <c r="G66" i="33"/>
  <c r="F66" i="33"/>
  <c r="E66" i="33"/>
  <c r="D66" i="33"/>
  <c r="C66" i="33"/>
  <c r="B66" i="33"/>
  <c r="C61" i="33"/>
  <c r="J54" i="33"/>
  <c r="H42" i="33"/>
  <c r="H49" i="33"/>
  <c r="H48" i="33"/>
  <c r="J39" i="33"/>
  <c r="J40" i="33"/>
  <c r="J41" i="33"/>
  <c r="F20" i="33"/>
  <c r="E20" i="33"/>
  <c r="D20" i="33"/>
  <c r="C20" i="33"/>
  <c r="C34" i="31"/>
  <c r="E34" i="31"/>
  <c r="D10" i="31"/>
  <c r="D14" i="31"/>
  <c r="D26" i="31"/>
  <c r="C16" i="31"/>
  <c r="E16" i="31"/>
  <c r="E6" i="31"/>
  <c r="D72" i="24"/>
  <c r="D73" i="24"/>
  <c r="D74" i="24"/>
  <c r="D75" i="24"/>
  <c r="D80" i="24"/>
  <c r="D76" i="24"/>
  <c r="D77" i="24"/>
  <c r="C78" i="24"/>
  <c r="C82" i="24"/>
  <c r="C80" i="24"/>
  <c r="C81" i="24"/>
  <c r="E55" i="24"/>
  <c r="E56" i="24"/>
  <c r="E57" i="24"/>
  <c r="E58" i="24"/>
  <c r="E63" i="24"/>
  <c r="E59" i="24"/>
  <c r="E60" i="24"/>
  <c r="D61" i="24"/>
  <c r="D63" i="24"/>
  <c r="D64" i="24"/>
  <c r="D65" i="24"/>
  <c r="C61" i="24"/>
  <c r="C63" i="24"/>
  <c r="C64" i="24"/>
  <c r="C65" i="24"/>
  <c r="C43" i="24"/>
  <c r="C45" i="24"/>
  <c r="D43" i="24"/>
  <c r="D45" i="24"/>
  <c r="D46" i="24"/>
  <c r="D47" i="24"/>
  <c r="E43" i="24"/>
  <c r="E45" i="24"/>
  <c r="F42" i="24"/>
  <c r="F41" i="24"/>
  <c r="F40" i="24"/>
  <c r="F39" i="24"/>
  <c r="F38" i="24"/>
  <c r="F37" i="24"/>
  <c r="C27" i="24"/>
  <c r="C29" i="24"/>
  <c r="D27" i="24"/>
  <c r="D29" i="24"/>
  <c r="E27" i="24"/>
  <c r="E29" i="24"/>
  <c r="F27" i="24"/>
  <c r="F29" i="24"/>
  <c r="F30" i="24"/>
  <c r="F31" i="24"/>
  <c r="G26" i="24"/>
  <c r="G25" i="24"/>
  <c r="G24" i="24"/>
  <c r="G23" i="24"/>
  <c r="G22" i="24"/>
  <c r="G21" i="24"/>
  <c r="E11" i="24"/>
  <c r="E13" i="24"/>
  <c r="E14" i="24"/>
  <c r="E15" i="24"/>
  <c r="G3" i="22"/>
  <c r="G14" i="22"/>
  <c r="G25" i="22"/>
  <c r="G6" i="22"/>
  <c r="G7" i="22"/>
  <c r="G8" i="22"/>
  <c r="G10" i="22"/>
  <c r="G18" i="22"/>
  <c r="G19" i="22"/>
  <c r="F25" i="22"/>
  <c r="F8" i="22"/>
  <c r="F10" i="22"/>
  <c r="F19" i="22"/>
  <c r="F23" i="22"/>
  <c r="E25" i="22"/>
  <c r="E8" i="22"/>
  <c r="E19" i="22"/>
  <c r="E23" i="22"/>
  <c r="D25" i="22"/>
  <c r="D8" i="22"/>
  <c r="D19" i="22"/>
  <c r="C25" i="22"/>
  <c r="C8" i="22"/>
  <c r="C19" i="22"/>
  <c r="G21" i="22"/>
  <c r="G23" i="22"/>
  <c r="D23" i="22"/>
  <c r="C23" i="22"/>
  <c r="E10" i="22"/>
  <c r="C49" i="2"/>
  <c r="C48" i="2"/>
  <c r="C40" i="2"/>
  <c r="C38" i="2"/>
  <c r="C33" i="2"/>
  <c r="C26" i="2"/>
  <c r="C21" i="2"/>
  <c r="C17" i="2"/>
  <c r="C16" i="2"/>
  <c r="D17" i="2"/>
  <c r="D16" i="2"/>
  <c r="C13" i="2"/>
  <c r="C12" i="2"/>
  <c r="D12" i="2"/>
  <c r="G21" i="2"/>
  <c r="G26" i="2"/>
  <c r="G25" i="2"/>
  <c r="G24" i="2"/>
  <c r="G12" i="2"/>
  <c r="H12" i="2"/>
  <c r="G13" i="2"/>
  <c r="G17" i="2"/>
  <c r="G16" i="2"/>
  <c r="G29" i="2"/>
  <c r="G30" i="2"/>
  <c r="G31" i="2"/>
  <c r="Q39" i="2"/>
  <c r="Q38" i="2"/>
  <c r="Q35" i="2"/>
  <c r="Q34" i="2"/>
  <c r="Q28" i="2"/>
  <c r="Q27" i="2"/>
  <c r="Q23" i="2"/>
  <c r="Q21" i="2"/>
  <c r="Q24" i="2"/>
  <c r="Q16" i="2"/>
  <c r="Q15" i="2"/>
  <c r="P35" i="2"/>
  <c r="P34" i="2"/>
  <c r="P29" i="2"/>
  <c r="P28" i="2"/>
  <c r="P27" i="2"/>
  <c r="P23" i="2"/>
  <c r="P21" i="2"/>
  <c r="P16" i="2"/>
  <c r="P15" i="2"/>
  <c r="H33" i="2"/>
  <c r="H38" i="2"/>
  <c r="H35" i="2"/>
  <c r="H31" i="2"/>
  <c r="H30" i="2"/>
  <c r="H29" i="2"/>
  <c r="H26" i="2"/>
  <c r="H25" i="2"/>
  <c r="H24" i="2"/>
  <c r="H21" i="2"/>
  <c r="H17" i="2"/>
  <c r="H16" i="2"/>
  <c r="H13" i="2"/>
  <c r="G38" i="2"/>
  <c r="G35" i="2"/>
  <c r="G33" i="2"/>
  <c r="K49" i="2"/>
  <c r="K48" i="2"/>
  <c r="K14" i="2"/>
  <c r="K18" i="2"/>
  <c r="K19" i="2"/>
  <c r="K27" i="2"/>
  <c r="K28" i="2"/>
  <c r="D38" i="2"/>
  <c r="D13" i="2"/>
  <c r="D14" i="2"/>
  <c r="D26" i="2"/>
  <c r="D25" i="2"/>
  <c r="D24" i="2"/>
  <c r="D21" i="2"/>
  <c r="D29" i="2"/>
  <c r="D30" i="2"/>
  <c r="D31" i="2"/>
  <c r="D33" i="2"/>
  <c r="D35" i="2"/>
  <c r="I26" i="2"/>
  <c r="I21" i="2"/>
  <c r="I27" i="2"/>
  <c r="I30" i="2"/>
  <c r="I31" i="2"/>
  <c r="I12" i="2"/>
  <c r="I14" i="2"/>
  <c r="I18" i="2"/>
  <c r="I19" i="2"/>
  <c r="I33" i="2"/>
  <c r="I35" i="2"/>
  <c r="I40" i="2"/>
  <c r="I49" i="2"/>
  <c r="I48" i="2"/>
  <c r="M15" i="2"/>
  <c r="M16" i="2"/>
  <c r="M39" i="2"/>
  <c r="M38" i="2"/>
  <c r="M35" i="2"/>
  <c r="M34" i="2"/>
  <c r="M29" i="2"/>
  <c r="M28" i="2"/>
  <c r="M27" i="2"/>
  <c r="M23" i="2"/>
  <c r="M21" i="2"/>
  <c r="N15" i="2"/>
  <c r="N16" i="2"/>
  <c r="N39" i="2"/>
  <c r="N38" i="2"/>
  <c r="N35" i="2"/>
  <c r="N34" i="2"/>
  <c r="N28" i="2"/>
  <c r="N27" i="2"/>
  <c r="N23" i="2"/>
  <c r="N21" i="2"/>
  <c r="N24" i="2"/>
  <c r="D49" i="2"/>
  <c r="D48" i="2"/>
  <c r="D40" i="2"/>
  <c r="R24" i="2"/>
  <c r="R30" i="2"/>
  <c r="H49" i="2"/>
  <c r="H48" i="2"/>
  <c r="G49" i="2"/>
  <c r="G48" i="2"/>
  <c r="R38" i="2"/>
  <c r="R17" i="2"/>
  <c r="N29" i="2"/>
  <c r="Q29" i="2"/>
  <c r="C35" i="2"/>
  <c r="H203" i="15"/>
  <c r="I203" i="15"/>
  <c r="R190" i="15"/>
  <c r="R137" i="15"/>
  <c r="G191" i="15"/>
  <c r="G192" i="15"/>
  <c r="G193" i="15"/>
  <c r="G194" i="15"/>
  <c r="N179" i="15"/>
  <c r="S167" i="15"/>
  <c r="M179" i="15"/>
  <c r="T186" i="15"/>
  <c r="N125" i="15"/>
  <c r="C125" i="15"/>
  <c r="N126" i="15"/>
  <c r="S114" i="15"/>
  <c r="N127" i="15"/>
  <c r="M125" i="15"/>
  <c r="T132" i="15"/>
  <c r="T133" i="15"/>
  <c r="G196" i="15"/>
  <c r="G197" i="15"/>
  <c r="G198" i="15"/>
  <c r="G199" i="15"/>
  <c r="G200" i="15"/>
  <c r="O179" i="15"/>
  <c r="P179" i="15"/>
  <c r="Q179" i="15"/>
  <c r="U179" i="15"/>
  <c r="Q126" i="15"/>
  <c r="F179" i="15"/>
  <c r="S185" i="15"/>
  <c r="U186" i="15"/>
  <c r="O126" i="15"/>
  <c r="P126" i="15"/>
  <c r="U132" i="15"/>
  <c r="J185" i="15"/>
  <c r="U133" i="15"/>
  <c r="S133" i="15"/>
  <c r="G187" i="15"/>
  <c r="F187" i="15"/>
  <c r="E187" i="15"/>
  <c r="D187" i="15"/>
  <c r="C187" i="15"/>
  <c r="B187" i="15"/>
  <c r="G186" i="15"/>
  <c r="F186" i="15"/>
  <c r="E186" i="15"/>
  <c r="D186" i="15"/>
  <c r="C186" i="15"/>
  <c r="B186" i="15"/>
  <c r="I185" i="15"/>
  <c r="G185" i="15"/>
  <c r="F185" i="15"/>
  <c r="E185" i="15"/>
  <c r="D185" i="15"/>
  <c r="C185" i="15"/>
  <c r="B185" i="15"/>
  <c r="U136" i="15"/>
  <c r="Q135" i="15"/>
  <c r="P135" i="15"/>
  <c r="O135" i="15"/>
  <c r="N135" i="15"/>
  <c r="S61" i="15"/>
  <c r="O74" i="15"/>
  <c r="O75" i="15"/>
  <c r="M75" i="15"/>
  <c r="Q77" i="15"/>
  <c r="F77" i="15"/>
  <c r="U79" i="15"/>
  <c r="J79" i="15"/>
  <c r="U80" i="15"/>
  <c r="J80" i="15"/>
  <c r="N73" i="15"/>
  <c r="N74" i="15"/>
  <c r="C74" i="15"/>
  <c r="T79" i="15"/>
  <c r="I132" i="15"/>
  <c r="T80" i="15"/>
  <c r="G134" i="15"/>
  <c r="F134" i="15"/>
  <c r="E134" i="15"/>
  <c r="D134" i="15"/>
  <c r="C134" i="15"/>
  <c r="B134" i="15"/>
  <c r="G133" i="15"/>
  <c r="F133" i="15"/>
  <c r="E133" i="15"/>
  <c r="D133" i="15"/>
  <c r="C133" i="15"/>
  <c r="B133" i="15"/>
  <c r="G132" i="15"/>
  <c r="F132" i="15"/>
  <c r="E132" i="15"/>
  <c r="D132" i="15"/>
  <c r="C132" i="15"/>
  <c r="B132" i="15"/>
  <c r="AA12" i="15"/>
  <c r="AA13" i="15"/>
  <c r="AE13" i="15"/>
  <c r="AB13" i="15"/>
  <c r="AB20" i="15"/>
  <c r="AB27" i="15"/>
  <c r="AA14" i="15"/>
  <c r="AA15" i="15"/>
  <c r="AC12" i="15"/>
  <c r="AC13" i="15"/>
  <c r="AC14" i="15"/>
  <c r="AC21" i="15"/>
  <c r="AD13" i="15"/>
  <c r="AD14" i="15"/>
  <c r="J27" i="15"/>
  <c r="I27" i="15"/>
  <c r="H27" i="15"/>
  <c r="AE2" i="15"/>
  <c r="AE3" i="15"/>
  <c r="AE4" i="15"/>
  <c r="AE5" i="15"/>
  <c r="AE6" i="15"/>
  <c r="AD6" i="15"/>
  <c r="AC6" i="15"/>
  <c r="AB6" i="15"/>
  <c r="AA6" i="15"/>
  <c r="B22" i="15"/>
  <c r="C24" i="15"/>
  <c r="I24" i="15"/>
  <c r="H8" i="15"/>
  <c r="H26" i="15"/>
  <c r="R84" i="15"/>
  <c r="G85" i="15"/>
  <c r="G86" i="15"/>
  <c r="G87" i="15"/>
  <c r="G88" i="15"/>
  <c r="G90" i="15"/>
  <c r="G91" i="15"/>
  <c r="G92" i="15"/>
  <c r="G93" i="15"/>
  <c r="G94" i="15"/>
  <c r="H97" i="15"/>
  <c r="G31" i="15"/>
  <c r="H42" i="15"/>
  <c r="T203" i="15"/>
  <c r="Y157" i="15"/>
  <c r="S152" i="15"/>
  <c r="Y148" i="15"/>
  <c r="Y150" i="15"/>
  <c r="Z147" i="15"/>
  <c r="S119" i="15"/>
  <c r="S118" i="15"/>
  <c r="O119" i="15"/>
  <c r="Q119" i="15"/>
  <c r="X98" i="15"/>
  <c r="H12" i="15"/>
  <c r="O207" i="15"/>
  <c r="P207" i="15"/>
  <c r="Q207" i="15"/>
  <c r="O208" i="15"/>
  <c r="N207" i="15"/>
  <c r="M119" i="15"/>
  <c r="S171" i="15"/>
  <c r="N119" i="15"/>
  <c r="N117" i="15"/>
  <c r="N120" i="15"/>
  <c r="P119" i="15"/>
  <c r="H119" i="15"/>
  <c r="S65" i="15"/>
  <c r="R66" i="15"/>
  <c r="H118" i="15"/>
  <c r="O117" i="15"/>
  <c r="P117" i="15"/>
  <c r="Q117" i="15"/>
  <c r="R117" i="15"/>
  <c r="R64" i="15"/>
  <c r="G117" i="15"/>
  <c r="M117" i="15"/>
  <c r="P66" i="15"/>
  <c r="E66" i="15"/>
  <c r="O66" i="15"/>
  <c r="S200" i="15"/>
  <c r="U182" i="15"/>
  <c r="U129" i="15"/>
  <c r="J182" i="15"/>
  <c r="T182" i="15"/>
  <c r="S182" i="15"/>
  <c r="U76" i="15"/>
  <c r="J129" i="15"/>
  <c r="T129" i="15"/>
  <c r="I182" i="15"/>
  <c r="S129" i="15"/>
  <c r="H182" i="15"/>
  <c r="G182" i="15"/>
  <c r="F182" i="15"/>
  <c r="E182" i="15"/>
  <c r="D182" i="15"/>
  <c r="C182" i="15"/>
  <c r="B182" i="15"/>
  <c r="T178" i="15"/>
  <c r="S178" i="15"/>
  <c r="T126" i="15"/>
  <c r="G179" i="15"/>
  <c r="D179" i="15"/>
  <c r="U178" i="15"/>
  <c r="U125" i="15"/>
  <c r="J178" i="15"/>
  <c r="G178" i="15"/>
  <c r="F178" i="15"/>
  <c r="E178" i="15"/>
  <c r="D178" i="15"/>
  <c r="C178" i="15"/>
  <c r="O170" i="15"/>
  <c r="P170" i="15"/>
  <c r="Q170" i="15"/>
  <c r="N170" i="15"/>
  <c r="M170" i="15"/>
  <c r="R170" i="15"/>
  <c r="R172" i="15"/>
  <c r="R173" i="15"/>
  <c r="T119" i="15"/>
  <c r="H172" i="15"/>
  <c r="U171" i="15"/>
  <c r="T171" i="15"/>
  <c r="T118" i="15"/>
  <c r="I171" i="15"/>
  <c r="U118" i="15"/>
  <c r="J171" i="15"/>
  <c r="G171" i="15"/>
  <c r="F171" i="15"/>
  <c r="E171" i="15"/>
  <c r="D171" i="15"/>
  <c r="C171" i="15"/>
  <c r="B171" i="15"/>
  <c r="T168" i="15"/>
  <c r="T169" i="15"/>
  <c r="S168" i="15"/>
  <c r="S169" i="15"/>
  <c r="T115" i="15"/>
  <c r="T116" i="15"/>
  <c r="S115" i="15"/>
  <c r="S116" i="15"/>
  <c r="S63" i="15"/>
  <c r="H116" i="15"/>
  <c r="H169" i="15"/>
  <c r="F170" i="15"/>
  <c r="U169" i="15"/>
  <c r="U116" i="15"/>
  <c r="J169" i="15"/>
  <c r="G169" i="15"/>
  <c r="F169" i="15"/>
  <c r="E169" i="15"/>
  <c r="D169" i="15"/>
  <c r="C169" i="15"/>
  <c r="B169" i="15"/>
  <c r="U168" i="15"/>
  <c r="U115" i="15"/>
  <c r="J168" i="15"/>
  <c r="G168" i="15"/>
  <c r="F168" i="15"/>
  <c r="E168" i="15"/>
  <c r="D168" i="15"/>
  <c r="C168" i="15"/>
  <c r="B168" i="15"/>
  <c r="U167" i="15"/>
  <c r="T167" i="15"/>
  <c r="T114" i="15"/>
  <c r="I167" i="15"/>
  <c r="U114" i="15"/>
  <c r="G167" i="15"/>
  <c r="F167" i="15"/>
  <c r="E167" i="15"/>
  <c r="D167" i="15"/>
  <c r="C167" i="15"/>
  <c r="B167" i="15"/>
  <c r="N162" i="15"/>
  <c r="G138" i="15"/>
  <c r="G139" i="15"/>
  <c r="G140" i="15"/>
  <c r="G141" i="15"/>
  <c r="H150" i="15"/>
  <c r="I150" i="15"/>
  <c r="G143" i="15"/>
  <c r="G144" i="15"/>
  <c r="G145" i="15"/>
  <c r="G146" i="15"/>
  <c r="G147" i="15"/>
  <c r="H147" i="15"/>
  <c r="S147" i="15"/>
  <c r="J76" i="15"/>
  <c r="T76" i="15"/>
  <c r="I129" i="15"/>
  <c r="S76" i="15"/>
  <c r="G129" i="15"/>
  <c r="F129" i="15"/>
  <c r="E129" i="15"/>
  <c r="D129" i="15"/>
  <c r="C129" i="15"/>
  <c r="B129" i="15"/>
  <c r="T72" i="15"/>
  <c r="I72" i="15"/>
  <c r="T73" i="15"/>
  <c r="I73" i="15"/>
  <c r="S72" i="15"/>
  <c r="H72" i="15"/>
  <c r="S73" i="15"/>
  <c r="B127" i="15"/>
  <c r="U73" i="15"/>
  <c r="I126" i="15"/>
  <c r="G126" i="15"/>
  <c r="E126" i="15"/>
  <c r="B126" i="15"/>
  <c r="U72" i="15"/>
  <c r="J72" i="15"/>
  <c r="G125" i="15"/>
  <c r="F125" i="15"/>
  <c r="E125" i="15"/>
  <c r="D125" i="15"/>
  <c r="B125" i="15"/>
  <c r="O64" i="15"/>
  <c r="P64" i="15"/>
  <c r="Q64" i="15"/>
  <c r="N64" i="15"/>
  <c r="G64" i="15"/>
  <c r="M64" i="15"/>
  <c r="B64" i="15"/>
  <c r="U65" i="15"/>
  <c r="J118" i="15"/>
  <c r="T65" i="15"/>
  <c r="I65" i="15"/>
  <c r="G118" i="15"/>
  <c r="F118" i="15"/>
  <c r="E118" i="15"/>
  <c r="D118" i="15"/>
  <c r="C118" i="15"/>
  <c r="B118" i="15"/>
  <c r="T62" i="15"/>
  <c r="T63" i="15"/>
  <c r="T64" i="15"/>
  <c r="I64" i="15"/>
  <c r="S62" i="15"/>
  <c r="H63" i="15"/>
  <c r="S64" i="15"/>
  <c r="H64" i="15"/>
  <c r="U63" i="15"/>
  <c r="G116" i="15"/>
  <c r="F116" i="15"/>
  <c r="E116" i="15"/>
  <c r="D116" i="15"/>
  <c r="C116" i="15"/>
  <c r="B116" i="15"/>
  <c r="U62" i="15"/>
  <c r="G115" i="15"/>
  <c r="F115" i="15"/>
  <c r="E115" i="15"/>
  <c r="D115" i="15"/>
  <c r="C115" i="15"/>
  <c r="B115" i="15"/>
  <c r="U61" i="15"/>
  <c r="J61" i="15"/>
  <c r="T61" i="15"/>
  <c r="G114" i="15"/>
  <c r="F114" i="15"/>
  <c r="E114" i="15"/>
  <c r="D114" i="15"/>
  <c r="C114" i="15"/>
  <c r="B114" i="15"/>
  <c r="N109" i="15"/>
  <c r="I76" i="15"/>
  <c r="G76" i="15"/>
  <c r="F76" i="15"/>
  <c r="E76" i="15"/>
  <c r="D76" i="15"/>
  <c r="C76" i="15"/>
  <c r="B76" i="15"/>
  <c r="B74" i="15"/>
  <c r="J73" i="15"/>
  <c r="H73" i="15"/>
  <c r="G73" i="15"/>
  <c r="F73" i="15"/>
  <c r="E73" i="15"/>
  <c r="D73" i="15"/>
  <c r="C73" i="15"/>
  <c r="B73" i="15"/>
  <c r="G72" i="15"/>
  <c r="F72" i="15"/>
  <c r="E72" i="15"/>
  <c r="D72" i="15"/>
  <c r="C72" i="15"/>
  <c r="B72" i="15"/>
  <c r="H66" i="15"/>
  <c r="J65" i="15"/>
  <c r="H65" i="15"/>
  <c r="G65" i="15"/>
  <c r="F65" i="15"/>
  <c r="E65" i="15"/>
  <c r="D65" i="15"/>
  <c r="C65" i="15"/>
  <c r="B65" i="15"/>
  <c r="J63" i="15"/>
  <c r="G63" i="15"/>
  <c r="F63" i="15"/>
  <c r="E63" i="15"/>
  <c r="D63" i="15"/>
  <c r="C63" i="15"/>
  <c r="B63" i="15"/>
  <c r="G62" i="15"/>
  <c r="F62" i="15"/>
  <c r="E62" i="15"/>
  <c r="D62" i="15"/>
  <c r="C62" i="15"/>
  <c r="B62" i="15"/>
  <c r="H61" i="15"/>
  <c r="G61" i="15"/>
  <c r="F61" i="15"/>
  <c r="E61" i="15"/>
  <c r="D61" i="15"/>
  <c r="C61" i="15"/>
  <c r="B61" i="15"/>
  <c r="N56" i="15"/>
  <c r="S94" i="15"/>
  <c r="H41" i="15"/>
  <c r="I42" i="15"/>
  <c r="I44" i="15"/>
  <c r="H35" i="15"/>
  <c r="J23" i="15"/>
  <c r="J20" i="15"/>
  <c r="J19" i="15"/>
  <c r="D11" i="15"/>
  <c r="D13" i="15"/>
  <c r="D14" i="15"/>
  <c r="E11" i="15"/>
  <c r="E13" i="15"/>
  <c r="F11" i="15"/>
  <c r="F13" i="15"/>
  <c r="F14" i="15"/>
  <c r="J12" i="15"/>
  <c r="J10" i="15"/>
  <c r="J9" i="15"/>
  <c r="J8" i="15"/>
  <c r="I23" i="15"/>
  <c r="H23" i="15"/>
  <c r="I19" i="15"/>
  <c r="I20" i="15"/>
  <c r="H19" i="15"/>
  <c r="H20" i="15"/>
  <c r="C11" i="15"/>
  <c r="C13" i="15"/>
  <c r="C14" i="15"/>
  <c r="I14" i="15"/>
  <c r="B11" i="15"/>
  <c r="B13" i="15"/>
  <c r="B14" i="15"/>
  <c r="G11" i="15"/>
  <c r="G13" i="15"/>
  <c r="G14" i="15"/>
  <c r="I9" i="15"/>
  <c r="I10" i="15"/>
  <c r="I11" i="15"/>
  <c r="H9" i="15"/>
  <c r="H10" i="15"/>
  <c r="I12" i="15"/>
  <c r="I8" i="15"/>
  <c r="J103" i="7"/>
  <c r="J92" i="7"/>
  <c r="K103" i="7"/>
  <c r="K92" i="7"/>
  <c r="N92" i="7"/>
  <c r="N103" i="7"/>
  <c r="F103" i="7"/>
  <c r="F106" i="7"/>
  <c r="F92" i="7"/>
  <c r="F94" i="7"/>
  <c r="G103" i="7"/>
  <c r="G92" i="7"/>
  <c r="G94" i="7"/>
  <c r="M103" i="7"/>
  <c r="M106" i="7"/>
  <c r="I103" i="7"/>
  <c r="I92" i="7"/>
  <c r="I94" i="7"/>
  <c r="I96" i="7"/>
  <c r="I108" i="7"/>
  <c r="H103" i="7"/>
  <c r="H106" i="7"/>
  <c r="H92" i="7"/>
  <c r="E103" i="7"/>
  <c r="E92" i="7"/>
  <c r="N106" i="7"/>
  <c r="I104" i="7"/>
  <c r="D103" i="7"/>
  <c r="D92" i="7"/>
  <c r="D94" i="7"/>
  <c r="D96" i="7"/>
  <c r="L79" i="7"/>
  <c r="L85" i="7"/>
  <c r="L88" i="7"/>
  <c r="K79" i="7"/>
  <c r="K85" i="7"/>
  <c r="K88" i="7"/>
  <c r="J79" i="7"/>
  <c r="J85" i="7"/>
  <c r="J88" i="7"/>
  <c r="I79" i="7"/>
  <c r="I85" i="7"/>
  <c r="I88" i="7"/>
  <c r="H79" i="7"/>
  <c r="H85" i="7"/>
  <c r="H88" i="7"/>
  <c r="G79" i="7"/>
  <c r="G85" i="7"/>
  <c r="G88" i="7"/>
  <c r="F79" i="7"/>
  <c r="F85" i="7"/>
  <c r="F88" i="7"/>
  <c r="E86" i="7"/>
  <c r="E79" i="7"/>
  <c r="E85" i="7"/>
  <c r="E88" i="7"/>
  <c r="D79" i="7"/>
  <c r="D85" i="7"/>
  <c r="D88" i="7"/>
  <c r="D33" i="7"/>
  <c r="D22" i="7"/>
  <c r="D24" i="7"/>
  <c r="D26" i="7"/>
  <c r="D11" i="7"/>
  <c r="D15" i="7"/>
  <c r="D18" i="7"/>
  <c r="J33" i="7"/>
  <c r="J22" i="7"/>
  <c r="K33" i="7"/>
  <c r="K22" i="7"/>
  <c r="K24" i="7"/>
  <c r="N22" i="7"/>
  <c r="N33" i="7"/>
  <c r="F33" i="7"/>
  <c r="F22" i="7"/>
  <c r="G22" i="7"/>
  <c r="M22" i="7"/>
  <c r="G33" i="7"/>
  <c r="G24" i="7"/>
  <c r="G26" i="7"/>
  <c r="G38" i="7"/>
  <c r="M33" i="7"/>
  <c r="M36" i="7"/>
  <c r="I33" i="7"/>
  <c r="I22" i="7"/>
  <c r="H33" i="7"/>
  <c r="H22" i="7"/>
  <c r="H24" i="7"/>
  <c r="H26" i="7"/>
  <c r="H38" i="7"/>
  <c r="E33" i="7"/>
  <c r="E36" i="7"/>
  <c r="E22" i="7"/>
  <c r="N36" i="7"/>
  <c r="I34" i="7"/>
  <c r="H36" i="7"/>
  <c r="G36" i="7"/>
  <c r="L11" i="7"/>
  <c r="L15" i="7"/>
  <c r="L18" i="7"/>
  <c r="K11" i="7"/>
  <c r="K15" i="7"/>
  <c r="K18" i="7"/>
  <c r="J11" i="7"/>
  <c r="J15" i="7"/>
  <c r="J18" i="7"/>
  <c r="I11" i="7"/>
  <c r="I15" i="7"/>
  <c r="I18" i="7"/>
  <c r="H11" i="7"/>
  <c r="H15" i="7"/>
  <c r="H18" i="7"/>
  <c r="G11" i="7"/>
  <c r="G15" i="7"/>
  <c r="G18" i="7"/>
  <c r="F11" i="7"/>
  <c r="F15" i="7"/>
  <c r="F18" i="7"/>
  <c r="E16" i="7"/>
  <c r="E11" i="7"/>
  <c r="E15" i="7"/>
  <c r="E18" i="7"/>
  <c r="D7" i="3"/>
  <c r="D19" i="3"/>
  <c r="E19" i="3"/>
  <c r="F19" i="3"/>
  <c r="E7" i="3"/>
  <c r="E23" i="3"/>
  <c r="E26" i="3"/>
  <c r="F7" i="3"/>
  <c r="F22" i="3"/>
  <c r="F21" i="3"/>
  <c r="F29" i="3"/>
  <c r="F8" i="3"/>
  <c r="F30" i="3"/>
  <c r="F6" i="3"/>
  <c r="F9" i="3"/>
  <c r="F10" i="3"/>
  <c r="F11" i="3"/>
  <c r="F12" i="3"/>
  <c r="F13" i="3"/>
  <c r="F14" i="3"/>
  <c r="F15" i="3"/>
  <c r="F16" i="3"/>
  <c r="F17" i="3"/>
  <c r="F18" i="3"/>
  <c r="F20" i="3"/>
  <c r="F24" i="3"/>
  <c r="F25" i="3"/>
  <c r="F5" i="3"/>
  <c r="K26" i="7"/>
  <c r="K38" i="7"/>
  <c r="J125" i="15"/>
  <c r="I15" i="33"/>
  <c r="I73" i="33"/>
  <c r="D74" i="15"/>
  <c r="K36" i="7"/>
  <c r="E64" i="15"/>
  <c r="H62" i="15"/>
  <c r="G27" i="22"/>
  <c r="J62" i="15"/>
  <c r="J115" i="15"/>
  <c r="F71" i="33"/>
  <c r="G96" i="7"/>
  <c r="G108" i="7"/>
  <c r="I118" i="15"/>
  <c r="G84" i="15"/>
  <c r="I62" i="15"/>
  <c r="I114" i="15"/>
  <c r="I61" i="15"/>
  <c r="T74" i="15"/>
  <c r="I74" i="15"/>
  <c r="H76" i="15"/>
  <c r="J116" i="15"/>
  <c r="Q120" i="15"/>
  <c r="C170" i="15"/>
  <c r="AC15" i="15"/>
  <c r="AD21" i="15"/>
  <c r="AE15" i="15"/>
  <c r="AA16" i="15"/>
  <c r="D126" i="15"/>
  <c r="B179" i="15"/>
  <c r="G190" i="15"/>
  <c r="H201" i="15"/>
  <c r="T201" i="15"/>
  <c r="S194" i="15"/>
  <c r="S201" i="15"/>
  <c r="G106" i="7"/>
  <c r="P74" i="15"/>
  <c r="Q74" i="15"/>
  <c r="R74" i="15"/>
  <c r="R75" i="15"/>
  <c r="G75" i="15"/>
  <c r="E46" i="24"/>
  <c r="B73" i="33"/>
  <c r="N172" i="15"/>
  <c r="D24" i="15"/>
  <c r="E24" i="15"/>
  <c r="AE12" i="15"/>
  <c r="F27" i="22"/>
  <c r="F29" i="22"/>
  <c r="E30" i="24"/>
  <c r="E31" i="24"/>
  <c r="C30" i="24"/>
  <c r="C31" i="24"/>
  <c r="H88" i="33"/>
  <c r="H24" i="33"/>
  <c r="H82" i="33"/>
  <c r="G82" i="33"/>
  <c r="D80" i="33"/>
  <c r="D25" i="33"/>
  <c r="E25" i="33"/>
  <c r="E26" i="33"/>
  <c r="E83" i="33"/>
  <c r="F25" i="33"/>
  <c r="G15" i="33"/>
  <c r="G16" i="33"/>
  <c r="G74" i="33"/>
  <c r="G73" i="33"/>
  <c r="H21" i="33"/>
  <c r="G74" i="15"/>
  <c r="E47" i="24"/>
  <c r="J38" i="33"/>
  <c r="J44" i="33"/>
  <c r="Q75" i="15"/>
  <c r="F75" i="15"/>
  <c r="F74" i="15"/>
  <c r="H79" i="33"/>
  <c r="P75" i="15"/>
  <c r="E75" i="15"/>
  <c r="U74" i="15"/>
  <c r="J74" i="15"/>
  <c r="E74" i="15"/>
  <c r="S74" i="15"/>
  <c r="H74" i="15"/>
  <c r="Q78" i="15"/>
  <c r="F78" i="15"/>
  <c r="S75" i="15"/>
  <c r="H75" i="15"/>
  <c r="D86" i="33"/>
  <c r="K94" i="7"/>
  <c r="K96" i="7"/>
  <c r="K108" i="7"/>
  <c r="K106" i="7"/>
  <c r="I186" i="15"/>
  <c r="S186" i="15"/>
  <c r="H186" i="15"/>
  <c r="B34" i="33"/>
  <c r="H34" i="33"/>
  <c r="D26" i="33"/>
  <c r="J25" i="33"/>
  <c r="J83" i="33"/>
  <c r="D83" i="33"/>
  <c r="O67" i="15"/>
  <c r="U64" i="15"/>
  <c r="J64" i="15"/>
  <c r="D64" i="15"/>
  <c r="D66" i="15"/>
  <c r="D119" i="15"/>
  <c r="O120" i="15"/>
  <c r="D117" i="15"/>
  <c r="D170" i="15"/>
  <c r="U117" i="15"/>
  <c r="J117" i="15"/>
  <c r="G29" i="24"/>
  <c r="D78" i="24"/>
  <c r="D81" i="24"/>
  <c r="D82" i="24"/>
  <c r="J24" i="7"/>
  <c r="J36" i="7"/>
  <c r="M94" i="7"/>
  <c r="F96" i="7"/>
  <c r="C179" i="15"/>
  <c r="T179" i="15"/>
  <c r="S179" i="15"/>
  <c r="H168" i="15"/>
  <c r="S170" i="15"/>
  <c r="E170" i="15"/>
  <c r="E179" i="15"/>
  <c r="AB22" i="15"/>
  <c r="D89" i="33"/>
  <c r="I201" i="15"/>
  <c r="E94" i="7"/>
  <c r="E96" i="7"/>
  <c r="E108" i="7"/>
  <c r="I115" i="15"/>
  <c r="D27" i="22"/>
  <c r="D10" i="22"/>
  <c r="G29" i="22"/>
  <c r="T120" i="15"/>
  <c r="N173" i="15"/>
  <c r="T173" i="15"/>
  <c r="I173" i="15"/>
  <c r="N75" i="15"/>
  <c r="E106" i="7"/>
  <c r="H94" i="7"/>
  <c r="H96" i="7"/>
  <c r="H108" i="7"/>
  <c r="M92" i="7"/>
  <c r="I63" i="15"/>
  <c r="J114" i="15"/>
  <c r="AB12" i="15"/>
  <c r="AD12" i="15"/>
  <c r="I80" i="15"/>
  <c r="H80" i="15"/>
  <c r="F43" i="24"/>
  <c r="C46" i="24"/>
  <c r="C83" i="33"/>
  <c r="G25" i="33"/>
  <c r="G26" i="33"/>
  <c r="F83" i="33"/>
  <c r="F26" i="33"/>
  <c r="F36" i="7"/>
  <c r="F24" i="7"/>
  <c r="O127" i="15"/>
  <c r="P127" i="15"/>
  <c r="H114" i="15"/>
  <c r="Q127" i="15"/>
  <c r="S148" i="15"/>
  <c r="G137" i="15"/>
  <c r="S141" i="15"/>
  <c r="H10" i="33"/>
  <c r="C68" i="33"/>
  <c r="C13" i="33"/>
  <c r="J34" i="33"/>
  <c r="C28" i="33"/>
  <c r="I28" i="33"/>
  <c r="I86" i="33"/>
  <c r="G28" i="33"/>
  <c r="G86" i="33"/>
  <c r="F28" i="33"/>
  <c r="F86" i="33"/>
  <c r="E28" i="33"/>
  <c r="E86" i="33"/>
  <c r="B84" i="33"/>
  <c r="H194" i="15"/>
  <c r="H22" i="33"/>
  <c r="AA21" i="15"/>
  <c r="B117" i="15"/>
  <c r="F117" i="15"/>
  <c r="F64" i="15"/>
  <c r="T75" i="15"/>
  <c r="I75" i="15"/>
  <c r="U119" i="15"/>
  <c r="S132" i="15"/>
  <c r="J132" i="15"/>
  <c r="I10" i="33"/>
  <c r="I68" i="33"/>
  <c r="D73" i="33"/>
  <c r="J15" i="33"/>
  <c r="J73" i="33"/>
  <c r="F31" i="33"/>
  <c r="F89" i="33"/>
  <c r="C31" i="33"/>
  <c r="I31" i="33"/>
  <c r="E31" i="33"/>
  <c r="J167" i="15"/>
  <c r="S117" i="15"/>
  <c r="H117" i="15"/>
  <c r="R119" i="15"/>
  <c r="H94" i="15"/>
  <c r="AB15" i="15"/>
  <c r="AD15" i="15"/>
  <c r="AF15" i="15"/>
  <c r="AD22" i="15"/>
  <c r="H200" i="15"/>
  <c r="S126" i="15"/>
  <c r="H126" i="15"/>
  <c r="C126" i="15"/>
  <c r="I67" i="33"/>
  <c r="F16" i="33"/>
  <c r="F74" i="33"/>
  <c r="H129" i="15"/>
  <c r="H115" i="15"/>
  <c r="D23" i="3"/>
  <c r="F23" i="3"/>
  <c r="P67" i="15"/>
  <c r="Q66" i="15"/>
  <c r="Q67" i="15"/>
  <c r="U67" i="15"/>
  <c r="J67" i="15"/>
  <c r="I116" i="15"/>
  <c r="M66" i="15"/>
  <c r="N66" i="15"/>
  <c r="T66" i="15"/>
  <c r="S88" i="15"/>
  <c r="S95" i="15"/>
  <c r="I79" i="15"/>
  <c r="H79" i="15"/>
  <c r="G24" i="15"/>
  <c r="F24" i="15"/>
  <c r="S79" i="15"/>
  <c r="N180" i="15"/>
  <c r="T180" i="15"/>
  <c r="O180" i="15"/>
  <c r="D180" i="15"/>
  <c r="E27" i="22"/>
  <c r="E29" i="22"/>
  <c r="AB14" i="15"/>
  <c r="AE14" i="15"/>
  <c r="AF14" i="15"/>
  <c r="AC22" i="15"/>
  <c r="AC28" i="15"/>
  <c r="I133" i="15"/>
  <c r="T125" i="15"/>
  <c r="I125" i="15"/>
  <c r="I178" i="15"/>
  <c r="AD20" i="15"/>
  <c r="AD27" i="15"/>
  <c r="I179" i="15"/>
  <c r="D67" i="15"/>
  <c r="F119" i="15"/>
  <c r="F66" i="15"/>
  <c r="E127" i="15"/>
  <c r="P128" i="15"/>
  <c r="E128" i="15"/>
  <c r="AC20" i="15"/>
  <c r="AC27" i="15"/>
  <c r="AC29" i="15"/>
  <c r="O181" i="15"/>
  <c r="C66" i="15"/>
  <c r="C119" i="15"/>
  <c r="D26" i="3"/>
  <c r="F26" i="3"/>
  <c r="G172" i="15"/>
  <c r="H185" i="15"/>
  <c r="H132" i="15"/>
  <c r="U66" i="15"/>
  <c r="J119" i="15"/>
  <c r="C16" i="33"/>
  <c r="C71" i="33"/>
  <c r="H148" i="15"/>
  <c r="I148" i="15"/>
  <c r="H141" i="15"/>
  <c r="F127" i="15"/>
  <c r="Q128" i="15"/>
  <c r="H179" i="15"/>
  <c r="M96" i="7"/>
  <c r="M108" i="7"/>
  <c r="D120" i="15"/>
  <c r="B66" i="15"/>
  <c r="B119" i="15"/>
  <c r="I89" i="33"/>
  <c r="C89" i="33"/>
  <c r="C86" i="33"/>
  <c r="F29" i="33"/>
  <c r="F84" i="33"/>
  <c r="G83" i="33"/>
  <c r="D84" i="33"/>
  <c r="J26" i="33"/>
  <c r="J84" i="33"/>
  <c r="D29" i="33"/>
  <c r="H80" i="33"/>
  <c r="AA22" i="15"/>
  <c r="AE22" i="15"/>
  <c r="AD16" i="15"/>
  <c r="C75" i="15"/>
  <c r="N24" i="7"/>
  <c r="N26" i="7"/>
  <c r="N38" i="7"/>
  <c r="J26" i="7"/>
  <c r="E67" i="15"/>
  <c r="I13" i="33"/>
  <c r="I71" i="33"/>
  <c r="M67" i="15"/>
  <c r="B67" i="15"/>
  <c r="U127" i="15"/>
  <c r="J127" i="15"/>
  <c r="O128" i="15"/>
  <c r="U128" i="15"/>
  <c r="D127" i="15"/>
  <c r="F26" i="7"/>
  <c r="F38" i="7"/>
  <c r="M24" i="7"/>
  <c r="M26" i="7"/>
  <c r="M38" i="7"/>
  <c r="F46" i="24"/>
  <c r="C47" i="24"/>
  <c r="F47" i="24"/>
  <c r="AA20" i="15"/>
  <c r="AB16" i="15"/>
  <c r="AF12" i="15"/>
  <c r="N67" i="15"/>
  <c r="C67" i="15"/>
  <c r="AE16" i="15"/>
  <c r="H170" i="15"/>
  <c r="B24" i="15"/>
  <c r="N181" i="15"/>
  <c r="R127" i="15"/>
  <c r="G127" i="15"/>
  <c r="M97" i="7"/>
  <c r="F108" i="7"/>
  <c r="J66" i="15"/>
  <c r="J28" i="33"/>
  <c r="J86" i="33"/>
  <c r="T67" i="15"/>
  <c r="C120" i="15"/>
  <c r="F87" i="33"/>
  <c r="F35" i="33"/>
  <c r="F92" i="33"/>
  <c r="C74" i="33"/>
  <c r="I16" i="33"/>
  <c r="I74" i="33"/>
  <c r="I119" i="15"/>
  <c r="I66" i="15"/>
  <c r="H24" i="15"/>
  <c r="B25" i="15"/>
  <c r="AA27" i="15"/>
  <c r="AA32" i="15"/>
  <c r="AA23" i="15"/>
  <c r="D128" i="15"/>
  <c r="F67" i="15"/>
  <c r="F120" i="15"/>
  <c r="AA28" i="15"/>
  <c r="AA33" i="15"/>
  <c r="N27" i="7"/>
  <c r="J38" i="7"/>
  <c r="D181" i="15"/>
  <c r="R128" i="15"/>
  <c r="D87" i="33"/>
  <c r="D35" i="33"/>
  <c r="D92" i="33"/>
  <c r="G84" i="33"/>
  <c r="G29" i="33"/>
  <c r="G87" i="33"/>
  <c r="F128" i="15"/>
  <c r="T181" i="15"/>
  <c r="AA29" i="15"/>
  <c r="I67" i="15"/>
  <c r="G35" i="33"/>
  <c r="G92" i="33"/>
  <c r="AB32" i="15"/>
  <c r="AC32" i="15"/>
  <c r="I120" i="15"/>
  <c r="M27" i="7"/>
  <c r="AA34" i="15"/>
  <c r="AD23" i="15"/>
  <c r="F28" i="3"/>
  <c r="F31" i="3"/>
  <c r="F33" i="3"/>
  <c r="T127" i="15"/>
  <c r="N128" i="15"/>
  <c r="C180" i="15"/>
  <c r="C127" i="15"/>
  <c r="H68" i="33"/>
  <c r="H13" i="33"/>
  <c r="G128" i="15"/>
  <c r="R67" i="15"/>
  <c r="S67" i="15"/>
  <c r="H67" i="15"/>
  <c r="G119" i="15"/>
  <c r="R120" i="15"/>
  <c r="E89" i="33"/>
  <c r="J31" i="33"/>
  <c r="J89" i="33"/>
  <c r="E84" i="33"/>
  <c r="E29" i="33"/>
  <c r="U75" i="15"/>
  <c r="D75" i="15"/>
  <c r="C181" i="15"/>
  <c r="AC23" i="15"/>
  <c r="AE20" i="15"/>
  <c r="B28" i="33"/>
  <c r="S127" i="15"/>
  <c r="H127" i="15"/>
  <c r="J24" i="15"/>
  <c r="AD28" i="15"/>
  <c r="I36" i="7"/>
  <c r="I24" i="7"/>
  <c r="I26" i="7"/>
  <c r="I38" i="7"/>
  <c r="H95" i="15"/>
  <c r="H88" i="15"/>
  <c r="J11" i="15"/>
  <c r="E14" i="15"/>
  <c r="H14" i="15"/>
  <c r="M120" i="15"/>
  <c r="B170" i="15"/>
  <c r="P120" i="15"/>
  <c r="E117" i="15"/>
  <c r="G66" i="15"/>
  <c r="G67" i="15"/>
  <c r="F21" i="15"/>
  <c r="F22" i="15"/>
  <c r="F25" i="15"/>
  <c r="C21" i="15"/>
  <c r="D21" i="15"/>
  <c r="AB21" i="15"/>
  <c r="AF13" i="15"/>
  <c r="AC16" i="15"/>
  <c r="AF16" i="15"/>
  <c r="E13" i="33"/>
  <c r="E68" i="33"/>
  <c r="J10" i="33"/>
  <c r="J68" i="33"/>
  <c r="D71" i="33"/>
  <c r="D16" i="33"/>
  <c r="H25" i="33"/>
  <c r="I25" i="33"/>
  <c r="C26" i="33"/>
  <c r="T172" i="15"/>
  <c r="I172" i="15"/>
  <c r="C172" i="15"/>
  <c r="J106" i="7"/>
  <c r="J94" i="7"/>
  <c r="H11" i="15"/>
  <c r="J14" i="15"/>
  <c r="T117" i="15"/>
  <c r="I117" i="15"/>
  <c r="I168" i="15"/>
  <c r="U170" i="15"/>
  <c r="J170" i="15"/>
  <c r="P172" i="15"/>
  <c r="E172" i="15"/>
  <c r="O172" i="15"/>
  <c r="Q172" i="15"/>
  <c r="M172" i="15"/>
  <c r="H171" i="15"/>
  <c r="C27" i="22"/>
  <c r="C29" i="22"/>
  <c r="C173" i="15"/>
  <c r="E21" i="15"/>
  <c r="E22" i="15"/>
  <c r="E25" i="15"/>
  <c r="S80" i="15"/>
  <c r="AB23" i="15"/>
  <c r="G170" i="15"/>
  <c r="J13" i="33"/>
  <c r="J71" i="33"/>
  <c r="C64" i="15"/>
  <c r="C117" i="15"/>
  <c r="M128" i="15"/>
  <c r="B178" i="15"/>
  <c r="S125" i="15"/>
  <c r="K32" i="2"/>
  <c r="K34" i="2"/>
  <c r="K39" i="2"/>
  <c r="K45" i="2"/>
  <c r="G27" i="24"/>
  <c r="D30" i="24"/>
  <c r="E119" i="15"/>
  <c r="H133" i="15"/>
  <c r="F126" i="15"/>
  <c r="U126" i="15"/>
  <c r="Q180" i="15"/>
  <c r="M180" i="15"/>
  <c r="P180" i="15"/>
  <c r="H167" i="15"/>
  <c r="F45" i="24"/>
  <c r="I169" i="15"/>
  <c r="T170" i="15"/>
  <c r="I170" i="15"/>
  <c r="O77" i="15"/>
  <c r="O78" i="15"/>
  <c r="N77" i="15"/>
  <c r="R77" i="15"/>
  <c r="P77" i="15"/>
  <c r="B75" i="15"/>
  <c r="J133" i="15"/>
  <c r="C10" i="22"/>
  <c r="D29" i="22"/>
  <c r="E61" i="24"/>
  <c r="E64" i="24"/>
  <c r="E65" i="24"/>
  <c r="E24" i="7"/>
  <c r="E26" i="7"/>
  <c r="E38" i="7"/>
  <c r="I106" i="7"/>
  <c r="I13" i="15"/>
  <c r="J13" i="15"/>
  <c r="J186" i="15"/>
  <c r="H105" i="33"/>
  <c r="H106" i="33"/>
  <c r="D78" i="15"/>
  <c r="B180" i="15"/>
  <c r="M181" i="15"/>
  <c r="H125" i="15"/>
  <c r="S128" i="15"/>
  <c r="H128" i="15"/>
  <c r="G77" i="15"/>
  <c r="R78" i="15"/>
  <c r="G78" i="15"/>
  <c r="Q181" i="15"/>
  <c r="F180" i="15"/>
  <c r="G30" i="24"/>
  <c r="D31" i="24"/>
  <c r="G31" i="24"/>
  <c r="D172" i="15"/>
  <c r="O173" i="15"/>
  <c r="U172" i="15"/>
  <c r="J172" i="15"/>
  <c r="J96" i="7"/>
  <c r="N94" i="7"/>
  <c r="N96" i="7"/>
  <c r="N108" i="7"/>
  <c r="H26" i="33"/>
  <c r="H84" i="33"/>
  <c r="H83" i="33"/>
  <c r="AB28" i="15"/>
  <c r="AE21" i="15"/>
  <c r="AE28" i="15"/>
  <c r="B86" i="33"/>
  <c r="H28" i="33"/>
  <c r="H86" i="33"/>
  <c r="B29" i="33"/>
  <c r="I6" i="33"/>
  <c r="H71" i="33"/>
  <c r="C128" i="15"/>
  <c r="F172" i="15"/>
  <c r="Q173" i="15"/>
  <c r="F173" i="15"/>
  <c r="U120" i="15"/>
  <c r="J120" i="15"/>
  <c r="E120" i="15"/>
  <c r="J75" i="15"/>
  <c r="J128" i="15"/>
  <c r="J126" i="15"/>
  <c r="J179" i="15"/>
  <c r="D74" i="33"/>
  <c r="E71" i="33"/>
  <c r="E16" i="33"/>
  <c r="E74" i="33"/>
  <c r="D22" i="15"/>
  <c r="J21" i="15"/>
  <c r="B120" i="15"/>
  <c r="S120" i="15"/>
  <c r="H120" i="15"/>
  <c r="E35" i="33"/>
  <c r="E92" i="33"/>
  <c r="E87" i="33"/>
  <c r="J29" i="33"/>
  <c r="G120" i="15"/>
  <c r="G173" i="15"/>
  <c r="T128" i="15"/>
  <c r="I127" i="15"/>
  <c r="I180" i="15"/>
  <c r="AD32" i="15"/>
  <c r="E77" i="15"/>
  <c r="P78" i="15"/>
  <c r="E78" i="15"/>
  <c r="I83" i="33"/>
  <c r="I26" i="33"/>
  <c r="I84" i="33"/>
  <c r="AE27" i="15"/>
  <c r="AE29" i="15"/>
  <c r="AE23" i="15"/>
  <c r="C77" i="15"/>
  <c r="T77" i="15"/>
  <c r="I77" i="15"/>
  <c r="M77" i="15"/>
  <c r="N78" i="15"/>
  <c r="H178" i="15"/>
  <c r="N130" i="15"/>
  <c r="N131" i="15"/>
  <c r="B128" i="15"/>
  <c r="R130" i="15"/>
  <c r="P130" i="15"/>
  <c r="O130" i="15"/>
  <c r="Q130" i="15"/>
  <c r="U77" i="15"/>
  <c r="J77" i="15"/>
  <c r="D77" i="15"/>
  <c r="E180" i="15"/>
  <c r="P181" i="15"/>
  <c r="R180" i="15"/>
  <c r="U180" i="15"/>
  <c r="J180" i="15"/>
  <c r="B172" i="15"/>
  <c r="M173" i="15"/>
  <c r="P173" i="15"/>
  <c r="E173" i="15"/>
  <c r="C29" i="33"/>
  <c r="C84" i="33"/>
  <c r="G21" i="15"/>
  <c r="G22" i="15"/>
  <c r="G25" i="15"/>
  <c r="C22" i="15"/>
  <c r="C25" i="15"/>
  <c r="I21" i="15"/>
  <c r="I22" i="15"/>
  <c r="H21" i="15"/>
  <c r="H22" i="15"/>
  <c r="AD29" i="15"/>
  <c r="C131" i="15"/>
  <c r="T131" i="15"/>
  <c r="T78" i="15"/>
  <c r="C78" i="15"/>
  <c r="J35" i="33"/>
  <c r="J92" i="33"/>
  <c r="J87" i="33"/>
  <c r="D173" i="15"/>
  <c r="U173" i="15"/>
  <c r="J173" i="15"/>
  <c r="I25" i="15"/>
  <c r="I28" i="15"/>
  <c r="R181" i="15"/>
  <c r="G180" i="15"/>
  <c r="F130" i="15"/>
  <c r="Q131" i="15"/>
  <c r="F131" i="15"/>
  <c r="B77" i="15"/>
  <c r="S77" i="15"/>
  <c r="H77" i="15"/>
  <c r="M78" i="15"/>
  <c r="F181" i="15"/>
  <c r="G130" i="15"/>
  <c r="R131" i="15"/>
  <c r="G131" i="15"/>
  <c r="B173" i="15"/>
  <c r="S173" i="15"/>
  <c r="H173" i="15"/>
  <c r="U181" i="15"/>
  <c r="J181" i="15"/>
  <c r="E181" i="15"/>
  <c r="D130" i="15"/>
  <c r="U130" i="15"/>
  <c r="J130" i="15"/>
  <c r="O131" i="15"/>
  <c r="M130" i="15"/>
  <c r="C130" i="15"/>
  <c r="T130" i="15"/>
  <c r="I130" i="15"/>
  <c r="I128" i="15"/>
  <c r="I181" i="15"/>
  <c r="J22" i="15"/>
  <c r="D25" i="15"/>
  <c r="J25" i="15"/>
  <c r="J28" i="15"/>
  <c r="J16" i="33"/>
  <c r="J74" i="33"/>
  <c r="J108" i="7"/>
  <c r="N97" i="7"/>
  <c r="S180" i="15"/>
  <c r="U78" i="15"/>
  <c r="I29" i="33"/>
  <c r="C35" i="33"/>
  <c r="C92" i="33"/>
  <c r="C87" i="33"/>
  <c r="AB29" i="15"/>
  <c r="AB33" i="15"/>
  <c r="E130" i="15"/>
  <c r="P131" i="15"/>
  <c r="E131" i="15"/>
  <c r="H29" i="33"/>
  <c r="B35" i="33"/>
  <c r="B92" i="33"/>
  <c r="B87" i="33"/>
  <c r="N183" i="15"/>
  <c r="O183" i="15"/>
  <c r="Q183" i="15"/>
  <c r="F183" i="15"/>
  <c r="B181" i="15"/>
  <c r="R183" i="15"/>
  <c r="G183" i="15"/>
  <c r="P183" i="15"/>
  <c r="E183" i="15"/>
  <c r="H16" i="33"/>
  <c r="H74" i="33"/>
  <c r="M183" i="15"/>
  <c r="T183" i="15"/>
  <c r="I183" i="15"/>
  <c r="C183" i="15"/>
  <c r="N184" i="15"/>
  <c r="G181" i="15"/>
  <c r="R184" i="15"/>
  <c r="G184" i="15"/>
  <c r="I35" i="33"/>
  <c r="I92" i="33"/>
  <c r="I87" i="33"/>
  <c r="B130" i="15"/>
  <c r="S130" i="15"/>
  <c r="H130" i="15"/>
  <c r="M131" i="15"/>
  <c r="H25" i="15"/>
  <c r="I78" i="15"/>
  <c r="I81" i="15"/>
  <c r="T81" i="15"/>
  <c r="AB34" i="15"/>
  <c r="AC33" i="15"/>
  <c r="H35" i="33"/>
  <c r="H87" i="33"/>
  <c r="J78" i="15"/>
  <c r="J81" i="15"/>
  <c r="U81" i="15"/>
  <c r="U131" i="15"/>
  <c r="D131" i="15"/>
  <c r="P184" i="15"/>
  <c r="E184" i="15"/>
  <c r="Q184" i="15"/>
  <c r="F184" i="15"/>
  <c r="B78" i="15"/>
  <c r="S78" i="15"/>
  <c r="T134" i="15"/>
  <c r="I134" i="15"/>
  <c r="I131" i="15"/>
  <c r="D183" i="15"/>
  <c r="O184" i="15"/>
  <c r="U183" i="15"/>
  <c r="J183" i="15"/>
  <c r="S181" i="15"/>
  <c r="H181" i="15"/>
  <c r="H180" i="15"/>
  <c r="H52" i="33"/>
  <c r="H54" i="33"/>
  <c r="I52" i="33"/>
  <c r="I54" i="33"/>
  <c r="H92" i="33"/>
  <c r="D184" i="15"/>
  <c r="U184" i="15"/>
  <c r="H78" i="15"/>
  <c r="H81" i="15"/>
  <c r="H98" i="15"/>
  <c r="S81" i="15"/>
  <c r="S98" i="15"/>
  <c r="AD33" i="15"/>
  <c r="AD34" i="15"/>
  <c r="AC34" i="15"/>
  <c r="H28" i="15"/>
  <c r="H45" i="15"/>
  <c r="I45" i="15"/>
  <c r="B183" i="15"/>
  <c r="S183" i="15"/>
  <c r="H183" i="15"/>
  <c r="M184" i="15"/>
  <c r="B131" i="15"/>
  <c r="S131" i="15"/>
  <c r="J131" i="15"/>
  <c r="U134" i="15"/>
  <c r="J134" i="15"/>
  <c r="C184" i="15"/>
  <c r="T184" i="15"/>
  <c r="T187" i="15"/>
  <c r="I187" i="15"/>
  <c r="I204" i="15"/>
  <c r="I184" i="15"/>
  <c r="B184" i="15"/>
  <c r="S184" i="15"/>
  <c r="U187" i="15"/>
  <c r="J187" i="15"/>
  <c r="J184" i="15"/>
  <c r="H131" i="15"/>
  <c r="S134" i="15"/>
  <c r="S100" i="15"/>
  <c r="T100" i="15"/>
  <c r="T101" i="15"/>
  <c r="X99" i="15"/>
  <c r="I109" i="33"/>
  <c r="I111" i="33"/>
  <c r="H109" i="33"/>
  <c r="H111" i="33"/>
  <c r="S151" i="15"/>
  <c r="H134" i="15"/>
  <c r="S187" i="15"/>
  <c r="T204" i="15"/>
  <c r="T206" i="15"/>
  <c r="H184" i="15"/>
  <c r="H151" i="15"/>
  <c r="I151" i="15"/>
  <c r="S153" i="15"/>
  <c r="T153" i="15"/>
  <c r="H187" i="15"/>
  <c r="H204" i="15"/>
  <c r="S204" i="15"/>
  <c r="S206" i="15"/>
  <c r="G14" i="2"/>
  <c r="I32" i="2"/>
  <c r="I34" i="2"/>
  <c r="I39" i="2"/>
  <c r="I45" i="2"/>
  <c r="Q17" i="2"/>
  <c r="E12" i="2"/>
  <c r="C18" i="2"/>
  <c r="J12" i="2"/>
  <c r="N17" i="2"/>
  <c r="Q30" i="2"/>
  <c r="G18" i="2"/>
  <c r="D18" i="2"/>
  <c r="D19" i="2"/>
  <c r="N30" i="2"/>
  <c r="H14" i="2"/>
  <c r="G19" i="2"/>
  <c r="H18" i="2"/>
  <c r="H27" i="2"/>
  <c r="C14" i="2"/>
  <c r="M24" i="2"/>
  <c r="M30" i="2"/>
  <c r="M17" i="2"/>
  <c r="D27" i="2"/>
  <c r="P24" i="2"/>
  <c r="P30" i="2"/>
  <c r="G27" i="2"/>
  <c r="I28" i="2"/>
  <c r="P17" i="2"/>
  <c r="C17" i="31"/>
  <c r="C9" i="31"/>
  <c r="C37" i="31"/>
  <c r="C50" i="31"/>
  <c r="C22" i="31"/>
  <c r="C8" i="31"/>
  <c r="C36" i="31"/>
  <c r="C52" i="31"/>
  <c r="E52" i="31"/>
  <c r="C24" i="31"/>
  <c r="E24" i="31"/>
  <c r="C48" i="31"/>
  <c r="C20" i="31"/>
  <c r="J18" i="2"/>
  <c r="C19" i="2"/>
  <c r="E19" i="2"/>
  <c r="G32" i="2"/>
  <c r="G34" i="2"/>
  <c r="G39" i="2"/>
  <c r="H19" i="2"/>
  <c r="H28" i="2"/>
  <c r="C31" i="2"/>
  <c r="C24" i="2"/>
  <c r="C29" i="2"/>
  <c r="C30" i="2"/>
  <c r="G28" i="2"/>
  <c r="D32" i="2"/>
  <c r="D34" i="2"/>
  <c r="D39" i="2"/>
  <c r="D45" i="2"/>
  <c r="D28" i="2"/>
  <c r="E18" i="2"/>
  <c r="C45" i="31"/>
  <c r="E17" i="31"/>
  <c r="C18" i="31"/>
  <c r="E18" i="31"/>
  <c r="C38" i="31"/>
  <c r="E36" i="31"/>
  <c r="C10" i="31"/>
  <c r="E8" i="31"/>
  <c r="J19" i="2"/>
  <c r="H32" i="2"/>
  <c r="H34" i="2"/>
  <c r="H39" i="2"/>
  <c r="H45" i="2"/>
  <c r="C25" i="2"/>
  <c r="C27" i="2"/>
  <c r="G45" i="2"/>
  <c r="P38" i="2"/>
  <c r="E45" i="31"/>
  <c r="C46" i="31"/>
  <c r="E46" i="31"/>
  <c r="E10" i="31"/>
  <c r="E38" i="31"/>
  <c r="J39" i="2"/>
  <c r="J34" i="2"/>
  <c r="C28" i="2"/>
  <c r="E28" i="2"/>
  <c r="C32" i="2"/>
  <c r="C34" i="2"/>
  <c r="P39" i="2"/>
  <c r="C39" i="2"/>
  <c r="E34" i="2"/>
  <c r="E39" i="2"/>
  <c r="C45" i="2"/>
  <c r="C40" i="31"/>
  <c r="C12" i="31"/>
  <c r="E12" i="31"/>
  <c r="C14" i="31"/>
  <c r="E40" i="31"/>
  <c r="C42" i="31"/>
  <c r="E42" i="31"/>
  <c r="C54" i="31"/>
  <c r="E54" i="31"/>
  <c r="C28" i="31"/>
  <c r="E28" i="31"/>
  <c r="C56" i="31"/>
  <c r="E56" i="31"/>
  <c r="C26" i="31"/>
  <c r="E26" i="31"/>
  <c r="E14" i="31"/>
</calcChain>
</file>

<file path=xl/comments1.xml><?xml version="1.0" encoding="utf-8"?>
<comments xmlns="http://schemas.openxmlformats.org/spreadsheetml/2006/main">
  <authors>
    <author>BPPassPort User</author>
  </authors>
  <commentList>
    <comment ref="O29" authorId="0">
      <text>
        <r>
          <rPr>
            <b/>
            <sz val="8"/>
            <color indexed="81"/>
            <rFont val="Tahoma"/>
            <family val="2"/>
          </rPr>
          <t>chnage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3" authorId="0">
      <text>
        <r>
          <rPr>
            <b/>
            <sz val="8"/>
            <color indexed="81"/>
            <rFont val="Tahoma"/>
            <family val="2"/>
          </rPr>
          <t>chnage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BPPassPort User</author>
  </authors>
  <commentList>
    <comment ref="M125" authorId="0">
      <text>
        <r>
          <rPr>
            <sz val="8"/>
            <color indexed="81"/>
            <rFont val="Tahoma"/>
            <family val="2"/>
          </rPr>
          <t xml:space="preserve">70 mm amt +
13.65 mjv
sr no 6
</t>
        </r>
      </text>
    </comment>
    <comment ref="N126" authorId="0">
      <text>
        <r>
          <rPr>
            <sz val="8"/>
            <color indexed="81"/>
            <rFont val="Tahoma"/>
            <family val="2"/>
          </rPr>
          <t>297.73 SEPT 05 FBT
PLS MAKE ADJ. FOR FBT</t>
        </r>
      </text>
    </comment>
    <comment ref="O126" authorId="0">
      <text>
        <r>
          <rPr>
            <sz val="8"/>
            <color indexed="81"/>
            <rFont val="Tahoma"/>
            <family val="2"/>
          </rPr>
          <t xml:space="preserve">28.91 SEPT 05 FBT
PLS MAKE ADJ. FOR FBT
</t>
        </r>
      </text>
    </comment>
    <comment ref="P126" authorId="0">
      <text>
        <r>
          <rPr>
            <sz val="8"/>
            <color indexed="81"/>
            <rFont val="Tahoma"/>
            <family val="2"/>
          </rPr>
          <t xml:space="preserve">4.70  SEPT 05 FBT
PLS MAKE ADJ. FOR FBT
</t>
        </r>
      </text>
    </comment>
    <comment ref="Q126" authorId="0">
      <text>
        <r>
          <rPr>
            <sz val="8"/>
            <color indexed="81"/>
            <rFont val="Tahoma"/>
            <family val="2"/>
          </rPr>
          <t xml:space="preserve">1.33 SEPT 05 FBT
PLS MAKE ADJ. FOR FBT
</t>
        </r>
      </text>
    </comment>
  </commentList>
</comments>
</file>

<file path=xl/sharedStrings.xml><?xml version="1.0" encoding="utf-8"?>
<sst xmlns="http://schemas.openxmlformats.org/spreadsheetml/2006/main" count="1298" uniqueCount="440">
  <si>
    <t>Other Income</t>
  </si>
  <si>
    <t>Total Expenditure</t>
  </si>
  <si>
    <t>b) Consumption of Raw Materials</t>
  </si>
  <si>
    <t xml:space="preserve">c) Staff Cost </t>
  </si>
  <si>
    <t>d) Staff Cost - VRS</t>
  </si>
  <si>
    <t>f) Other Expenditure</t>
  </si>
  <si>
    <t xml:space="preserve">     - Advertisement</t>
  </si>
  <si>
    <t xml:space="preserve">     - Carriage, Insurance and Freight</t>
  </si>
  <si>
    <t xml:space="preserve">     - Other Expenditure</t>
  </si>
  <si>
    <t>Interest</t>
  </si>
  <si>
    <t>Depreciation</t>
  </si>
  <si>
    <t>Net Profit</t>
  </si>
  <si>
    <t>Paid up Equity Share Capital</t>
  </si>
  <si>
    <t>Reserves excluding Revaluation Reserve</t>
  </si>
  <si>
    <t>Number of shares</t>
  </si>
  <si>
    <t>Percentage of Shareholding</t>
  </si>
  <si>
    <t>Deferred Taxation</t>
  </si>
  <si>
    <t>Segment Revenue</t>
  </si>
  <si>
    <t xml:space="preserve">    Automotive</t>
  </si>
  <si>
    <t>Total Segment Revenue</t>
  </si>
  <si>
    <t>Segment Results</t>
  </si>
  <si>
    <t>Total Segment Results</t>
  </si>
  <si>
    <t>Segment Capital Employed</t>
  </si>
  <si>
    <t>Total Capital Employed in the Company</t>
  </si>
  <si>
    <t>Royalty</t>
  </si>
  <si>
    <t>PBT</t>
  </si>
  <si>
    <t>a) (Increase)/Decrease in Stock in Trade</t>
  </si>
  <si>
    <t xml:space="preserve">Profit Before Taxation </t>
  </si>
  <si>
    <t xml:space="preserve">Provision for Taxation </t>
  </si>
  <si>
    <t xml:space="preserve">    Non Automotive</t>
  </si>
  <si>
    <t>Aggregate of Non - Promoters Holdings</t>
  </si>
  <si>
    <t>Castrol India Limited</t>
  </si>
  <si>
    <t>Segmentwise Revenue, Results and Capital Employed,  under Clause 41 of the Listing Agreement</t>
  </si>
  <si>
    <t>Profit Before Taxation</t>
  </si>
  <si>
    <t>FOR CASTROL INDIA LIMITED</t>
  </si>
  <si>
    <t>EPS - (Rs.) (Basic and Diluted)</t>
  </si>
  <si>
    <t>Managing Director</t>
  </si>
  <si>
    <t>Less: Excise Duty</t>
  </si>
  <si>
    <t>Sales/ Income from Operations</t>
  </si>
  <si>
    <t>Net Sales</t>
  </si>
  <si>
    <t>Regd. Office : Technopolis Knowledge Park, Mahakali Caves Road, Andheri (East), Mumbai - 400 093.</t>
  </si>
  <si>
    <t xml:space="preserve">Merged </t>
  </si>
  <si>
    <t>CIL</t>
  </si>
  <si>
    <t>Tbp</t>
  </si>
  <si>
    <t>Operating Profit of Tbp for NM 30.09.01</t>
  </si>
  <si>
    <t>O Inc</t>
  </si>
  <si>
    <t>check</t>
  </si>
  <si>
    <t>Per 24.10.02</t>
  </si>
  <si>
    <t>Per 29.10.01</t>
  </si>
  <si>
    <t>N M 30.09.01</t>
  </si>
  <si>
    <t>Derived</t>
  </si>
  <si>
    <t>Taken in Segment data</t>
  </si>
  <si>
    <t>Naveen Kshatriya</t>
  </si>
  <si>
    <t xml:space="preserve">   ( Net Sales / Income from Operations )</t>
  </si>
  <si>
    <t>Total</t>
  </si>
  <si>
    <t>Details of increase / decrease in stocks</t>
  </si>
  <si>
    <t>Rs Cr</t>
  </si>
  <si>
    <t>( Tax Accounts)</t>
  </si>
  <si>
    <t>RM</t>
  </si>
  <si>
    <t>PM</t>
  </si>
  <si>
    <t>Traded Items</t>
  </si>
  <si>
    <t>Stores &amp; Spares</t>
  </si>
  <si>
    <t>FG</t>
  </si>
  <si>
    <t>Total Stocks</t>
  </si>
  <si>
    <t>Stocks per Accounts</t>
  </si>
  <si>
    <t>Difference</t>
  </si>
  <si>
    <t>New Basis</t>
  </si>
  <si>
    <t>HY Jun 03</t>
  </si>
  <si>
    <t>Q1 Mar 03</t>
  </si>
  <si>
    <t>FY 02</t>
  </si>
  <si>
    <t>HY Jun 02</t>
  </si>
  <si>
    <t>Q1 Mar 02</t>
  </si>
  <si>
    <t>Q2 Jun 03</t>
  </si>
  <si>
    <t>Q2 Jun 02</t>
  </si>
  <si>
    <t xml:space="preserve"> ( Increase)/Decrease in Stock in trade</t>
  </si>
  <si>
    <t xml:space="preserve">          ( Only Finished Goods )</t>
  </si>
  <si>
    <t xml:space="preserve">  Consumption of Raw Materials</t>
  </si>
  <si>
    <t>----------------</t>
  </si>
  <si>
    <t>Old Basis</t>
  </si>
  <si>
    <t>Per Accounts</t>
  </si>
  <si>
    <t>Diff</t>
  </si>
  <si>
    <t>diff</t>
  </si>
  <si>
    <t>a) (Increase) / Decrease in Stock in Trade</t>
  </si>
  <si>
    <t xml:space="preserve">Less: Unallocable expenditure net off </t>
  </si>
  <si>
    <t xml:space="preserve">            Interest</t>
  </si>
  <si>
    <t xml:space="preserve">Quarter </t>
  </si>
  <si>
    <t xml:space="preserve"> Ended </t>
  </si>
  <si>
    <t>NM Sep 03</t>
  </si>
  <si>
    <t>NM Sep 02</t>
  </si>
  <si>
    <t>Dec 03</t>
  </si>
  <si>
    <t>fy 03</t>
  </si>
  <si>
    <t>TOTAL</t>
  </si>
  <si>
    <t>YTD</t>
  </si>
  <si>
    <t>AUTO</t>
  </si>
  <si>
    <t>NON AUTO</t>
  </si>
  <si>
    <t>CASTROL INDIA LTD.</t>
  </si>
  <si>
    <t>Place : Mumbai</t>
  </si>
  <si>
    <t>LSC</t>
  </si>
  <si>
    <t>SIBU</t>
  </si>
  <si>
    <t>MAR</t>
  </si>
  <si>
    <t>PG</t>
  </si>
  <si>
    <t>Volume Net</t>
  </si>
  <si>
    <t>CORPORATE</t>
  </si>
  <si>
    <t>Total Sales Value</t>
  </si>
  <si>
    <t>Rebate</t>
  </si>
  <si>
    <t>Sales Net of Rebate</t>
  </si>
  <si>
    <t>Total Excise Duty 70 mm</t>
  </si>
  <si>
    <t>Total Excise Duty A/C</t>
  </si>
  <si>
    <t>Gross profit as per 70 MM</t>
  </si>
  <si>
    <t>Total Overheads</t>
  </si>
  <si>
    <t>Allocation of Tax OH</t>
  </si>
  <si>
    <t>Allocation of LSC OP</t>
  </si>
  <si>
    <t>Opearting profit</t>
  </si>
  <si>
    <t>BU Recovery as per 70 mm</t>
  </si>
  <si>
    <t>Unallocable expenditure net off unallocable Income</t>
  </si>
  <si>
    <t>other Income</t>
  </si>
  <si>
    <t>income from Investments</t>
  </si>
  <si>
    <t>Interest Receivable</t>
  </si>
  <si>
    <t>Interest Payable</t>
  </si>
  <si>
    <t>FA Loss / Profit</t>
  </si>
  <si>
    <t>Indian Accounts chnages</t>
  </si>
  <si>
    <t>Royalty Diff.</t>
  </si>
  <si>
    <t>MJV</t>
  </si>
  <si>
    <t>Revalued Depreciation</t>
  </si>
  <si>
    <t>Additional Depreciation</t>
  </si>
  <si>
    <t>Cess Diff</t>
  </si>
  <si>
    <t>Profit before tax</t>
  </si>
  <si>
    <t>Segment  Working</t>
  </si>
  <si>
    <t>Kls / Rs. In lacs - mar 04</t>
  </si>
  <si>
    <t>Qtr</t>
  </si>
  <si>
    <t>Per a/c</t>
  </si>
  <si>
    <t>Per 70 mm</t>
  </si>
  <si>
    <t>PGO</t>
  </si>
  <si>
    <t>Profit &amp; Loss</t>
  </si>
  <si>
    <t>LY DATA</t>
  </si>
  <si>
    <t>CY DATA</t>
  </si>
  <si>
    <t>1</t>
  </si>
  <si>
    <t>NO CHANGE</t>
  </si>
  <si>
    <t>2</t>
  </si>
  <si>
    <t>LSC Operating profit  to be allocated on the Basis of  BU Recovery</t>
  </si>
  <si>
    <t>3</t>
  </si>
  <si>
    <t xml:space="preserve">            unallocable Income</t>
  </si>
  <si>
    <t>Balance Sheet</t>
  </si>
  <si>
    <t xml:space="preserve">TANGIBLE FIXED ASSETS   </t>
  </si>
  <si>
    <t>LSC FA Data to allocated on the basis of  FA Block of UK for Dec 03</t>
  </si>
  <si>
    <t xml:space="preserve">STOCKS                  </t>
  </si>
  <si>
    <t>LSC stocks Data to allocated as perr LY working - costing will provied wk</t>
  </si>
  <si>
    <t xml:space="preserve">TRADE CREDITORS         </t>
  </si>
  <si>
    <t>LSC  Trade creditors data to be allocated on the basis of RM stocks of Streams</t>
  </si>
  <si>
    <t xml:space="preserve">OTHER DEBTORS           </t>
  </si>
  <si>
    <t>LSC Other Debtors data to be allocated on the basis of monthly volume</t>
  </si>
  <si>
    <t>EXP CREDITORS (*)</t>
  </si>
  <si>
    <t>LSC Exp CR Data to allocated fully to Automotive as per LY</t>
  </si>
  <si>
    <t>GROUP CO TRADE CREDITORS</t>
  </si>
  <si>
    <t>LSC  GRP Trade creditors data to be allocated on the basis of RM stocks of Streams</t>
  </si>
  <si>
    <t xml:space="preserve">DEFERRED TAXATION       </t>
  </si>
  <si>
    <t>Gross Margin as per 70 MM</t>
  </si>
  <si>
    <t>other Income / income from corp.</t>
  </si>
  <si>
    <t>Kls / Rs. In lacs -  June 04</t>
  </si>
  <si>
    <t>Kls / Rs. In lacs - June 04</t>
  </si>
  <si>
    <t>Add: Unallocable Assets less Liabilities</t>
  </si>
  <si>
    <t>%</t>
  </si>
  <si>
    <t xml:space="preserve">Less: Unallocable Expenditure net off </t>
  </si>
  <si>
    <t>other Income + corporate</t>
  </si>
  <si>
    <t>70 mm</t>
  </si>
  <si>
    <t>total</t>
  </si>
  <si>
    <t>per a/c</t>
  </si>
  <si>
    <t>Revalued Depreciation from FATL</t>
  </si>
  <si>
    <t>Additional Depreciation from FATL</t>
  </si>
  <si>
    <t>31.12.2004</t>
  </si>
  <si>
    <t>Year</t>
  </si>
  <si>
    <t xml:space="preserve"> Ended</t>
  </si>
  <si>
    <t>Cost of Sales</t>
  </si>
  <si>
    <t>Gross Profit</t>
  </si>
  <si>
    <t>Total Cost of Sales</t>
  </si>
  <si>
    <t xml:space="preserve">a) Staff Cost </t>
  </si>
  <si>
    <t>Profit Before Tax</t>
  </si>
  <si>
    <t>Net Profit After Tax</t>
  </si>
  <si>
    <t>Operating Profit</t>
  </si>
  <si>
    <t>Impairment of Fixed Assets 03</t>
  </si>
  <si>
    <t>Impairment of Fixed Assets 04</t>
  </si>
  <si>
    <t>RS. 372.00 LACS REMOVED FROM LSC FOR BLB VRS &amp; SHOWN IN Exceptional Items</t>
  </si>
  <si>
    <t>FA (Loss) / Profit</t>
  </si>
  <si>
    <t xml:space="preserve">         Unallocable (Income)</t>
  </si>
  <si>
    <t xml:space="preserve">         Interest</t>
  </si>
  <si>
    <t>b) Other Expenditure</t>
  </si>
  <si>
    <t xml:space="preserve">                                           (Rs.in Crores)</t>
  </si>
  <si>
    <t>(Face value of share of Rs.10/- each)</t>
  </si>
  <si>
    <t>(Rs.in Crores)</t>
  </si>
  <si>
    <t>Audited</t>
  </si>
  <si>
    <t>Mar 05</t>
  </si>
  <si>
    <t>June 05</t>
  </si>
  <si>
    <t>Sept 05</t>
  </si>
  <si>
    <t>Dec 05</t>
  </si>
  <si>
    <t>Previous</t>
  </si>
  <si>
    <t>Year Ended</t>
  </si>
  <si>
    <t>MJV / round off</t>
  </si>
  <si>
    <t>ILS</t>
  </si>
  <si>
    <t>Fixed Assets</t>
  </si>
  <si>
    <t>fbt</t>
  </si>
  <si>
    <t>rev resv.</t>
  </si>
  <si>
    <t>trav prov</t>
  </si>
  <si>
    <t>70 mm profit</t>
  </si>
  <si>
    <t>As per Ind a/c</t>
  </si>
  <si>
    <t>q1</t>
  </si>
  <si>
    <t>q2</t>
  </si>
  <si>
    <t>incr / (decr)</t>
  </si>
  <si>
    <t>q3</t>
  </si>
  <si>
    <t>Operating &amp;  Other Expenses</t>
  </si>
  <si>
    <t>Total Operating &amp;  Other Expenses</t>
  </si>
  <si>
    <t>Fbt - &gt;</t>
  </si>
  <si>
    <t>PBT AS PER IND A/C</t>
  </si>
  <si>
    <t>LACS</t>
  </si>
  <si>
    <t>REVL RESV. - FATL</t>
  </si>
  <si>
    <t>FBT</t>
  </si>
  <si>
    <t>PBT AS PER  70 MM</t>
  </si>
  <si>
    <t>CHK " 0"</t>
  </si>
  <si>
    <t>DIFF</t>
  </si>
  <si>
    <t>DIFF ADJ. 70 MM</t>
  </si>
  <si>
    <t>AS PER WK ABOVE</t>
  </si>
  <si>
    <t>MJV+roy+cess  after uk a/c</t>
  </si>
  <si>
    <t>mjv</t>
  </si>
  <si>
    <t>roy</t>
  </si>
  <si>
    <t>cess</t>
  </si>
  <si>
    <t>asp</t>
  </si>
  <si>
    <t>Sales / Income from Operations</t>
  </si>
  <si>
    <t xml:space="preserve">   (Net Sales / Income from Operations)</t>
  </si>
  <si>
    <t>Notes:</t>
  </si>
  <si>
    <t>q4</t>
  </si>
  <si>
    <t>tot</t>
  </si>
  <si>
    <t>31.12.2005</t>
  </si>
  <si>
    <t>Q4</t>
  </si>
  <si>
    <t>Q1</t>
  </si>
  <si>
    <t>Q2</t>
  </si>
  <si>
    <t>Q3</t>
  </si>
  <si>
    <t>w. back Exceptional Items : BLB- VRS &amp; IMP LOSS</t>
  </si>
  <si>
    <t>fbt 508.52 is added  in each stream &amp; excpt. Item removed from lsc</t>
  </si>
  <si>
    <t>taken in 70 mm</t>
  </si>
  <si>
    <t>Excess Income Tax provision for earlier years written back</t>
  </si>
  <si>
    <t>Profit Before Tax &amp; Exceptional Items</t>
  </si>
  <si>
    <t>TOT</t>
  </si>
  <si>
    <t>MAR/PGO</t>
  </si>
  <si>
    <t>Auto</t>
  </si>
  <si>
    <t>Non-Auto</t>
  </si>
  <si>
    <t>Corporate</t>
  </si>
  <si>
    <t>Less: Royalty</t>
  </si>
  <si>
    <t>Final Segment Results</t>
  </si>
  <si>
    <t xml:space="preserve">     - Advertisement </t>
  </si>
  <si>
    <t>other Income - corporate</t>
  </si>
  <si>
    <t>Add / Less - Royalty (MJV)</t>
  </si>
  <si>
    <t>FBT REMOVAL</t>
  </si>
  <si>
    <t>BU Recovery  %</t>
  </si>
  <si>
    <t>MJV - Total Overheads</t>
  </si>
  <si>
    <t>MISCELLANEOUS INCOME FOR COMMON COSTS, FROM BPISPL - YR 2004 VS. 2005</t>
  </si>
  <si>
    <t>GRP</t>
  </si>
  <si>
    <t>S/E FILE</t>
  </si>
  <si>
    <t>JDE CODE</t>
  </si>
  <si>
    <t>Amt(Rs.)</t>
  </si>
  <si>
    <t>RENT</t>
  </si>
  <si>
    <t>OTH EXP.</t>
  </si>
  <si>
    <t>AAIN3WHT.9186.23GRP</t>
  </si>
  <si>
    <t>AAIN3WHT.6433.05</t>
  </si>
  <si>
    <t>POWER &amp; FUEL</t>
  </si>
  <si>
    <t>AAIN3WHT.8513.05</t>
  </si>
  <si>
    <t>AAIN3WHT.8213.05AOF</t>
  </si>
  <si>
    <t>STAFF WEL</t>
  </si>
  <si>
    <t>STAFF COST</t>
  </si>
  <si>
    <t>AAIN3WHT.7651.05</t>
  </si>
  <si>
    <t>MIS EXP</t>
  </si>
  <si>
    <t>AAIN3WHT.7195.05</t>
  </si>
  <si>
    <t>AAIN3WHT.6681.05</t>
  </si>
  <si>
    <t>OTH EXP</t>
  </si>
  <si>
    <t>Results for all the quarters</t>
  </si>
  <si>
    <t>Staff Cost</t>
  </si>
  <si>
    <t>Other Exp</t>
  </si>
  <si>
    <t xml:space="preserve">Results for 12months </t>
  </si>
  <si>
    <t>Reduce O/H</t>
  </si>
  <si>
    <t>Reduce Other Exp.</t>
  </si>
  <si>
    <t>Increase Income</t>
  </si>
  <si>
    <t xml:space="preserve">Results for 9months </t>
  </si>
  <si>
    <t xml:space="preserve"> </t>
  </si>
  <si>
    <t>Result for December 2004</t>
  </si>
  <si>
    <t xml:space="preserve">  </t>
  </si>
  <si>
    <t xml:space="preserve">      Complaints pending at the beginning of the quarter   -   NIL</t>
  </si>
  <si>
    <t>1.  The above results were reviewed by the Audit Committee and taken on record by the Board of Directors at its</t>
  </si>
  <si>
    <t>2. The above results have been subjected to "Limited Review" by the Statutory Auditors of the Company.</t>
  </si>
  <si>
    <t>ROY LESS OTH INCOME</t>
  </si>
  <si>
    <t>TOT CHGS</t>
  </si>
  <si>
    <t>Q2 06 /</t>
  </si>
  <si>
    <t>Q2 05</t>
  </si>
  <si>
    <t>Allocation of Tax / GLT OH</t>
  </si>
  <si>
    <t>ROY</t>
  </si>
  <si>
    <t xml:space="preserve">      Complaints pending at the end of the quarter               -    NIL</t>
  </si>
  <si>
    <t xml:space="preserve">    The increased cost has been recovered through price increases and efficiency initiatives.</t>
  </si>
  <si>
    <t>Add : Other Income + WHT PROFIT</t>
  </si>
  <si>
    <t xml:space="preserve">FA (Loss)  / Profit </t>
  </si>
  <si>
    <t>FA (Loss)  / Profit (LSC Allocation)</t>
  </si>
  <si>
    <t>BU RECOV DEC 05</t>
  </si>
  <si>
    <t>FA LOSS AFTER LSC ALLOCATION</t>
  </si>
  <si>
    <t>FA LOSS AFTER LSC ALLOCATION - ytd</t>
  </si>
  <si>
    <t>Add : Other Income + FA LOSS</t>
  </si>
  <si>
    <t>Add : Other Income+ fa loss</t>
  </si>
  <si>
    <t>Plant Closure Expenses</t>
  </si>
  <si>
    <t xml:space="preserve">         Plant Closure Expenses</t>
  </si>
  <si>
    <t>30.09.2006</t>
  </si>
  <si>
    <t>30.09.2005</t>
  </si>
  <si>
    <t>Nine Months</t>
  </si>
  <si>
    <t>NM 06 /</t>
  </si>
  <si>
    <t>NM 05</t>
  </si>
  <si>
    <t xml:space="preserve">     meeting held on 14th October, 2006.</t>
  </si>
  <si>
    <t>3. The price of  base oil has been significantly higher as compared to same quarter of 2005.</t>
  </si>
  <si>
    <t>4. Provision for Taxes includes Current Tax, Deferred Tax &amp; Fringe Benefit Tax.</t>
  </si>
  <si>
    <t xml:space="preserve">      Complaints received during the quarter                         -   ?</t>
  </si>
  <si>
    <t xml:space="preserve">      Complaints disposed off during the quarter                  -    ?</t>
  </si>
  <si>
    <t xml:space="preserve">6.  Previous period's figures have been regrouped wherever necessary. </t>
  </si>
  <si>
    <t>Dated : 14th October, 2006.</t>
  </si>
  <si>
    <t xml:space="preserve">5. Status of Investor complaints for the quarter ended 30.09.2006 
</t>
  </si>
  <si>
    <t xml:space="preserve">Add: Other Income </t>
  </si>
  <si>
    <t>Provision for Taxes (Refer Note 4 below)</t>
  </si>
  <si>
    <t>lsc loss</t>
  </si>
  <si>
    <t>auto loss</t>
  </si>
  <si>
    <t>non auto loss</t>
  </si>
  <si>
    <t>Unaudited Financial Results for the Nine Months ended 30th  September, 2006.</t>
  </si>
  <si>
    <t xml:space="preserve">Add : Other Income </t>
  </si>
  <si>
    <t>(Rs. in Crores)</t>
  </si>
  <si>
    <t xml:space="preserve">    Reserves and Surplus</t>
  </si>
  <si>
    <t>Rebate - FBT</t>
  </si>
  <si>
    <t>SEOL (REMOVAL)</t>
  </si>
  <si>
    <t xml:space="preserve">Rebate </t>
  </si>
  <si>
    <t>Total Sales Value + base oil sale</t>
  </si>
  <si>
    <t>Int. paid / received trf to tax (net)</t>
  </si>
  <si>
    <t>* Full FBT is taken as the same is not adjusted in 70 mm gross margin (gm is as per 70 mm)</t>
  </si>
  <si>
    <t>FBT REMOVAL (Total) * (REF WK)</t>
  </si>
  <si>
    <t>Rebate - RECO (REF wk)</t>
  </si>
  <si>
    <t>MJV- SALES</t>
  </si>
  <si>
    <t xml:space="preserve"> Year</t>
  </si>
  <si>
    <t>Rs. Crores</t>
  </si>
  <si>
    <t xml:space="preserve">4Q 2007,Actual </t>
  </si>
  <si>
    <t xml:space="preserve"> % Change</t>
  </si>
  <si>
    <t>Volumes (Mln Litres)</t>
  </si>
  <si>
    <t xml:space="preserve">Gross Sales </t>
  </si>
  <si>
    <t>Less : Excise</t>
  </si>
  <si>
    <t>Cost Of Materials</t>
  </si>
  <si>
    <t xml:space="preserve">ASP  </t>
  </si>
  <si>
    <t>Joint Brand Royalty</t>
  </si>
  <si>
    <t>Overheads</t>
  </si>
  <si>
    <t>Profit before Tax</t>
  </si>
  <si>
    <t>Profit after Tax</t>
  </si>
  <si>
    <t xml:space="preserve">Profit before Tax </t>
  </si>
  <si>
    <t>As on 31st Dec 07</t>
  </si>
  <si>
    <t>SOURCES OF FUNDS</t>
  </si>
  <si>
    <t>Shareholders Funds</t>
  </si>
  <si>
    <t xml:space="preserve">    Share Capital</t>
  </si>
  <si>
    <t>Loan Funds</t>
  </si>
  <si>
    <t>APPLICATION OF FUNDS</t>
  </si>
  <si>
    <t>Investments</t>
  </si>
  <si>
    <t>Current Assets, Loans &amp; Advances</t>
  </si>
  <si>
    <t>Inventories</t>
  </si>
  <si>
    <t>Sundry Debtors</t>
  </si>
  <si>
    <t>Cash and Bank balances</t>
  </si>
  <si>
    <t>Other Current Assets</t>
  </si>
  <si>
    <t>Loans and Advances</t>
  </si>
  <si>
    <t>Less:</t>
  </si>
  <si>
    <t>Current Liabilities &amp; Provisions</t>
  </si>
  <si>
    <t>As on 31st Mar 08</t>
  </si>
  <si>
    <t>Deferred Tax Liability (Net)</t>
  </si>
  <si>
    <t>Deferred Tax Assets (Net)</t>
  </si>
  <si>
    <t xml:space="preserve">1Q 2007,Actual </t>
  </si>
  <si>
    <t xml:space="preserve">1Q 2008,Actual </t>
  </si>
  <si>
    <t>Mar 07</t>
  </si>
  <si>
    <t>ytd</t>
  </si>
  <si>
    <t>sept</t>
  </si>
  <si>
    <t>FBT REMOVAL  ???</t>
  </si>
  <si>
    <t>REV RESV.</t>
  </si>
  <si>
    <t>FA Loss / Profit LESS WHT PROFIT</t>
  </si>
  <si>
    <t>int</t>
  </si>
  <si>
    <t>Per WK</t>
  </si>
  <si>
    <t>working</t>
  </si>
  <si>
    <t>VAT Reco</t>
  </si>
  <si>
    <t>auto</t>
  </si>
  <si>
    <t>ils</t>
  </si>
  <si>
    <t>mar</t>
  </si>
  <si>
    <t>pgo</t>
  </si>
  <si>
    <t>Rebate 70 mm</t>
  </si>
  <si>
    <t>add VAT Figures</t>
  </si>
  <si>
    <t>Less FBT Rebate</t>
  </si>
  <si>
    <t>Less: Prior Period</t>
  </si>
  <si>
    <t>add Seol Advance</t>
  </si>
  <si>
    <t>as per accounts</t>
  </si>
  <si>
    <t>fbt working</t>
  </si>
  <si>
    <t>MRN</t>
  </si>
  <si>
    <t>TAX</t>
  </si>
  <si>
    <t>Technology</t>
  </si>
  <si>
    <t>Plant</t>
  </si>
  <si>
    <t>HR &amp; DCT COST RE-GROUP AS PER WORKING</t>
  </si>
  <si>
    <t>OLD</t>
  </si>
  <si>
    <t>Profit from Ordinary Activities Before Tax</t>
  </si>
  <si>
    <t xml:space="preserve">Other Operating Income </t>
  </si>
  <si>
    <t xml:space="preserve">     - Advertisement &amp; Sales Promotion</t>
  </si>
  <si>
    <t>Excess  Income Tax provision for earlier years written back (net)</t>
  </si>
  <si>
    <t>Unaudited</t>
  </si>
  <si>
    <t>Finance Charges</t>
  </si>
  <si>
    <t>Total Income from operations (net)</t>
  </si>
  <si>
    <t>Net Profit from Ordinary Activities After Tax</t>
  </si>
  <si>
    <t>(Rs.) (Basic and Diluted) (Not Annualised)</t>
  </si>
  <si>
    <t>hide</t>
  </si>
  <si>
    <t xml:space="preserve">d) Employee Benefits Expense
</t>
  </si>
  <si>
    <t>Particulars</t>
  </si>
  <si>
    <t>Total Expenses</t>
  </si>
  <si>
    <t xml:space="preserve"> Place : Mumbai</t>
  </si>
  <si>
    <t xml:space="preserve">Add : Exceptional Items </t>
  </si>
  <si>
    <t>Earnings Per Share (EPS) (Face value of share of Rs.5/- each)</t>
  </si>
  <si>
    <t xml:space="preserve">Paid up Equity Share Capital  </t>
  </si>
  <si>
    <t>See accompanying notes to the Financial Results</t>
  </si>
  <si>
    <t>(Face value of share of Rs.5/- each)</t>
  </si>
  <si>
    <t>Notes :</t>
  </si>
  <si>
    <t xml:space="preserve">Other Income </t>
  </si>
  <si>
    <t>e) Depreciation and Amortisation Expenses</t>
  </si>
  <si>
    <t>Omer Dormen</t>
  </si>
  <si>
    <t>31.12.15</t>
  </si>
  <si>
    <t>1. Income from operations (net)</t>
  </si>
  <si>
    <t>a) Cost of Materials Consumed</t>
  </si>
  <si>
    <t xml:space="preserve">b) Purchases of Stock-in-Trade   </t>
  </si>
  <si>
    <t>c) Changes in inventories of Stock-in-Trade</t>
  </si>
  <si>
    <t>2. Expenses</t>
  </si>
  <si>
    <t>f) Other Expenses</t>
  </si>
  <si>
    <t>Profit from Operations Before Other Income, Finance Cost</t>
  </si>
  <si>
    <t>Profit from Ordinary Activities Before Finance Cost</t>
  </si>
  <si>
    <t>Net Sales / Income from Operations (net of excise duty)</t>
  </si>
  <si>
    <t xml:space="preserve">Tax Expenses </t>
  </si>
  <si>
    <t>30.06.16</t>
  </si>
  <si>
    <t>Half Year</t>
  </si>
  <si>
    <t xml:space="preserve">3. Previous period's figures have been regrouped wherever necessary. </t>
  </si>
  <si>
    <t xml:space="preserve"> Dated : October 27, 2016</t>
  </si>
  <si>
    <t>1.  The above results were reviewed by the Audit Committee and approved by the Board of Directors at its meeting held on October 27, 2016.</t>
  </si>
  <si>
    <t>30.09.16</t>
  </si>
  <si>
    <t>30.09.15</t>
  </si>
  <si>
    <t>Website: www.castrol.co.in Tel: (022) 66984100 Fax: (022) 66984101</t>
  </si>
  <si>
    <t xml:space="preserve">(CIN No : L23200MH1979PLC021359)  </t>
  </si>
  <si>
    <t>Unaudited Financial Results for Quarter and Nine Months Ended September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</si>
</sst>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0_);\(0\)"/>
    <numFmt numFmtId="166" formatCode="0.00_);\(0.00\)"/>
    <numFmt numFmtId="167" formatCode="0.00_);[Red]\(0.00\)"/>
    <numFmt numFmtId="168" formatCode="0.0_);\(0.0\)"/>
    <numFmt numFmtId="169" formatCode="0.0_);[Red]\(0.0\)"/>
    <numFmt numFmtId="170" formatCode="_(* #,##0.0_);_(* \(#,##0.0\);_(* &quot;-&quot;??_);_(@_)"/>
    <numFmt numFmtId="171" formatCode="_(* #,##0.0_);_(* \(#,##0.0\);_(* &quot;-&quot;?_);_(@_)"/>
  </numFmts>
  <fonts count="3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0"/>
      <name val="Tahoma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rgb="FF00B0F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top"/>
    </xf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5" fillId="0" borderId="0">
      <alignment vertical="top"/>
    </xf>
    <xf numFmtId="0" fontId="27" fillId="0" borderId="0"/>
    <xf numFmtId="0" fontId="15" fillId="0" borderId="0"/>
    <xf numFmtId="2" fontId="1" fillId="0" borderId="0"/>
  </cellStyleXfs>
  <cellXfs count="323">
    <xf numFmtId="0" fontId="0" fillId="0" borderId="0" xfId="0" applyAlignment="1"/>
    <xf numFmtId="0" fontId="0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 vertical="center"/>
    </xf>
    <xf numFmtId="0" fontId="10" fillId="0" borderId="0" xfId="0" applyFont="1" applyAlignment="1"/>
    <xf numFmtId="2" fontId="10" fillId="0" borderId="0" xfId="0" applyNumberFormat="1" applyFont="1" applyAlignment="1"/>
    <xf numFmtId="0" fontId="10" fillId="0" borderId="0" xfId="0" applyFont="1" applyFill="1" applyBorder="1" applyAlignment="1"/>
    <xf numFmtId="2" fontId="0" fillId="0" borderId="0" xfId="0" applyNumberFormat="1" applyAlignment="1"/>
    <xf numFmtId="0" fontId="9" fillId="0" borderId="0" xfId="0" applyFont="1" applyAlignment="1">
      <alignment horizontal="center"/>
    </xf>
    <xf numFmtId="166" fontId="10" fillId="0" borderId="0" xfId="0" applyNumberFormat="1" applyFont="1" applyAlignment="1"/>
    <xf numFmtId="0" fontId="10" fillId="0" borderId="0" xfId="0" applyFont="1" applyAlignment="1">
      <alignment horizontal="center"/>
    </xf>
    <xf numFmtId="0" fontId="10" fillId="0" borderId="1" xfId="0" applyNumberFormat="1" applyFont="1" applyBorder="1" applyAlignment="1"/>
    <xf numFmtId="0" fontId="10" fillId="0" borderId="2" xfId="0" applyNumberFormat="1" applyFont="1" applyBorder="1" applyAlignment="1"/>
    <xf numFmtId="0" fontId="0" fillId="2" borderId="0" xfId="0" applyFill="1" applyAlignment="1"/>
    <xf numFmtId="166" fontId="0" fillId="0" borderId="0" xfId="0" applyNumberFormat="1" applyBorder="1" applyAlignment="1"/>
    <xf numFmtId="166" fontId="0" fillId="0" borderId="0" xfId="0" quotePrefix="1" applyNumberFormat="1" applyBorder="1" applyAlignment="1">
      <alignment horizontal="fill"/>
    </xf>
    <xf numFmtId="0" fontId="6" fillId="0" borderId="0" xfId="0" applyFont="1" applyAlignment="1"/>
    <xf numFmtId="0" fontId="0" fillId="3" borderId="0" xfId="0" applyFill="1" applyAlignment="1"/>
    <xf numFmtId="2" fontId="0" fillId="3" borderId="0" xfId="0" applyNumberFormat="1" applyFill="1" applyAlignment="1"/>
    <xf numFmtId="2" fontId="0" fillId="2" borderId="0" xfId="0" applyNumberFormat="1" applyFill="1" applyAlignment="1"/>
    <xf numFmtId="2" fontId="10" fillId="2" borderId="0" xfId="0" applyNumberFormat="1" applyFont="1" applyFill="1" applyAlignment="1"/>
    <xf numFmtId="0" fontId="10" fillId="2" borderId="0" xfId="0" applyFont="1" applyFill="1" applyAlignment="1"/>
    <xf numFmtId="17" fontId="10" fillId="0" borderId="0" xfId="0" applyNumberFormat="1" applyFont="1" applyAlignment="1"/>
    <xf numFmtId="166" fontId="10" fillId="0" borderId="0" xfId="0" quotePrefix="1" applyNumberFormat="1" applyFont="1" applyAlignment="1"/>
    <xf numFmtId="0" fontId="4" fillId="4" borderId="3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2" fontId="10" fillId="0" borderId="0" xfId="0" quotePrefix="1" applyNumberFormat="1" applyFont="1" applyAlignment="1"/>
    <xf numFmtId="166" fontId="1" fillId="0" borderId="1" xfId="0" applyNumberFormat="1" applyFont="1" applyBorder="1" applyAlignment="1"/>
    <xf numFmtId="166" fontId="0" fillId="0" borderId="3" xfId="0" applyNumberFormat="1" applyBorder="1" applyAlignment="1"/>
    <xf numFmtId="2" fontId="10" fillId="5" borderId="0" xfId="0" applyNumberFormat="1" applyFont="1" applyFill="1" applyAlignment="1"/>
    <xf numFmtId="2" fontId="10" fillId="6" borderId="0" xfId="0" applyNumberFormat="1" applyFont="1" applyFill="1" applyAlignment="1"/>
    <xf numFmtId="0" fontId="0" fillId="5" borderId="0" xfId="0" applyFill="1" applyAlignment="1"/>
    <xf numFmtId="2" fontId="0" fillId="5" borderId="0" xfId="0" applyNumberFormat="1" applyFill="1" applyAlignment="1"/>
    <xf numFmtId="0" fontId="0" fillId="6" borderId="0" xfId="0" applyFill="1" applyAlignment="1"/>
    <xf numFmtId="2" fontId="0" fillId="6" borderId="0" xfId="0" applyNumberFormat="1" applyFill="1" applyAlignment="1"/>
    <xf numFmtId="0" fontId="6" fillId="0" borderId="0" xfId="0" applyFont="1" applyFill="1" applyBorder="1" applyAlignment="1"/>
    <xf numFmtId="166" fontId="8" fillId="0" borderId="0" xfId="0" applyNumberFormat="1" applyFont="1" applyBorder="1" applyAlignment="1">
      <alignment wrapText="1"/>
    </xf>
    <xf numFmtId="0" fontId="0" fillId="0" borderId="0" xfId="0" applyFill="1" applyBorder="1" applyAlignment="1"/>
    <xf numFmtId="0" fontId="10" fillId="0" borderId="0" xfId="0" quotePrefix="1" applyFont="1" applyAlignment="1"/>
    <xf numFmtId="166" fontId="12" fillId="0" borderId="0" xfId="0" applyNumberFormat="1" applyFont="1" applyBorder="1" applyAlignment="1">
      <alignment wrapText="1"/>
    </xf>
    <xf numFmtId="166" fontId="10" fillId="0" borderId="0" xfId="0" quotePrefix="1" applyNumberFormat="1" applyFont="1" applyBorder="1" applyAlignment="1">
      <alignment horizontal="center"/>
    </xf>
    <xf numFmtId="166" fontId="8" fillId="0" borderId="0" xfId="0" applyNumberFormat="1" applyFont="1" applyBorder="1" applyAlignment="1"/>
    <xf numFmtId="0" fontId="0" fillId="0" borderId="0" xfId="0" applyAlignment="1">
      <alignment horizontal="center"/>
    </xf>
    <xf numFmtId="0" fontId="10" fillId="0" borderId="0" xfId="0" applyFont="1" applyAlignment="1">
      <alignment wrapText="1"/>
    </xf>
    <xf numFmtId="166" fontId="8" fillId="0" borderId="0" xfId="0" applyNumberFormat="1" applyFont="1" applyFill="1" applyBorder="1" applyAlignment="1"/>
    <xf numFmtId="166" fontId="12" fillId="0" borderId="0" xfId="0" applyNumberFormat="1" applyFont="1" applyFill="1" applyBorder="1" applyAlignment="1"/>
    <xf numFmtId="0" fontId="10" fillId="0" borderId="0" xfId="0" applyNumberFormat="1" applyFont="1" applyAlignment="1">
      <alignment horizontal="center"/>
    </xf>
    <xf numFmtId="3" fontId="16" fillId="0" borderId="0" xfId="5" applyNumberFormat="1" applyFont="1" applyAlignment="1"/>
    <xf numFmtId="3" fontId="16" fillId="4" borderId="0" xfId="5" applyNumberFormat="1" applyFont="1" applyFill="1" applyAlignment="1"/>
    <xf numFmtId="0" fontId="0" fillId="4" borderId="0" xfId="0" applyFill="1" applyBorder="1" applyAlignment="1">
      <alignment horizontal="center" vertical="center"/>
    </xf>
    <xf numFmtId="0" fontId="0" fillId="4" borderId="7" xfId="0" applyFill="1" applyBorder="1" applyAlignment="1"/>
    <xf numFmtId="0" fontId="0" fillId="4" borderId="0" xfId="0" applyFill="1" applyAlignment="1"/>
    <xf numFmtId="0" fontId="0" fillId="4" borderId="8" xfId="0" applyFill="1" applyBorder="1" applyAlignment="1"/>
    <xf numFmtId="0" fontId="14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/>
    <xf numFmtId="0" fontId="0" fillId="4" borderId="11" xfId="0" applyFill="1" applyBorder="1" applyAlignment="1"/>
    <xf numFmtId="0" fontId="0" fillId="4" borderId="0" xfId="0" applyFill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6" fillId="4" borderId="0" xfId="0" quotePrefix="1" applyFont="1" applyFill="1" applyBorder="1" applyAlignment="1">
      <alignment horizontal="center" vertical="center"/>
    </xf>
    <xf numFmtId="0" fontId="0" fillId="4" borderId="12" xfId="0" applyNumberFormat="1" applyFont="1" applyFill="1" applyBorder="1" applyAlignment="1">
      <alignment horizontal="center" vertical="top" wrapText="1"/>
    </xf>
    <xf numFmtId="0" fontId="0" fillId="4" borderId="0" xfId="0" applyNumberFormat="1" applyFont="1" applyFill="1" applyBorder="1" applyAlignment="1">
      <alignment horizontal="centerContinuous"/>
    </xf>
    <xf numFmtId="0" fontId="0" fillId="4" borderId="3" xfId="0" applyNumberFormat="1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/>
    </xf>
    <xf numFmtId="0" fontId="0" fillId="4" borderId="7" xfId="0" applyFill="1" applyBorder="1" applyAlignment="1">
      <alignment wrapText="1"/>
    </xf>
    <xf numFmtId="0" fontId="0" fillId="4" borderId="4" xfId="0" applyNumberFormat="1" applyFont="1" applyFill="1" applyBorder="1" applyAlignment="1">
      <alignment horizontal="center" vertical="top" wrapText="1"/>
    </xf>
    <xf numFmtId="1" fontId="4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12" fillId="4" borderId="7" xfId="0" applyNumberFormat="1" applyFont="1" applyFill="1" applyBorder="1" applyAlignment="1">
      <alignment horizontal="center"/>
    </xf>
    <xf numFmtId="1" fontId="0" fillId="4" borderId="3" xfId="0" applyNumberFormat="1" applyFill="1" applyBorder="1" applyAlignment="1"/>
    <xf numFmtId="1" fontId="6" fillId="4" borderId="1" xfId="0" applyNumberFormat="1" applyFont="1" applyFill="1" applyBorder="1" applyAlignment="1"/>
    <xf numFmtId="1" fontId="4" fillId="4" borderId="3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 wrapText="1"/>
    </xf>
    <xf numFmtId="0" fontId="8" fillId="4" borderId="13" xfId="0" applyFont="1" applyFill="1" applyBorder="1" applyAlignment="1"/>
    <xf numFmtId="165" fontId="4" fillId="4" borderId="12" xfId="0" applyNumberFormat="1" applyFont="1" applyFill="1" applyBorder="1" applyAlignment="1">
      <alignment horizont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/>
    <xf numFmtId="166" fontId="6" fillId="4" borderId="3" xfId="0" applyNumberFormat="1" applyFont="1" applyFill="1" applyBorder="1" applyAlignment="1">
      <alignment horizontal="right"/>
    </xf>
    <xf numFmtId="166" fontId="3" fillId="4" borderId="0" xfId="0" applyNumberFormat="1" applyFont="1" applyFill="1" applyBorder="1" applyAlignment="1">
      <alignment horizontal="center" vertical="top" wrapText="1"/>
    </xf>
    <xf numFmtId="166" fontId="8" fillId="4" borderId="1" xfId="0" applyNumberFormat="1" applyFont="1" applyFill="1" applyBorder="1" applyAlignment="1"/>
    <xf numFmtId="166" fontId="8" fillId="4" borderId="3" xfId="0" applyNumberFormat="1" applyFont="1" applyFill="1" applyBorder="1" applyAlignment="1"/>
    <xf numFmtId="0" fontId="7" fillId="4" borderId="7" xfId="0" applyNumberFormat="1" applyFont="1" applyFill="1" applyBorder="1" applyAlignment="1">
      <alignment horizontal="center" vertical="top" wrapText="1"/>
    </xf>
    <xf numFmtId="166" fontId="6" fillId="4" borderId="12" xfId="0" applyNumberFormat="1" applyFont="1" applyFill="1" applyBorder="1" applyAlignment="1">
      <alignment horizontal="right"/>
    </xf>
    <xf numFmtId="166" fontId="0" fillId="4" borderId="0" xfId="0" applyNumberFormat="1" applyFill="1" applyBorder="1" applyAlignment="1"/>
    <xf numFmtId="1" fontId="0" fillId="4" borderId="7" xfId="0" applyNumberFormat="1" applyFill="1" applyBorder="1" applyAlignment="1"/>
    <xf numFmtId="166" fontId="8" fillId="4" borderId="3" xfId="0" applyNumberFormat="1" applyFont="1" applyFill="1" applyBorder="1" applyAlignment="1">
      <alignment horizontal="right"/>
    </xf>
    <xf numFmtId="166" fontId="6" fillId="4" borderId="4" xfId="0" applyNumberFormat="1" applyFont="1" applyFill="1" applyBorder="1" applyAlignment="1">
      <alignment horizontal="right"/>
    </xf>
    <xf numFmtId="166" fontId="0" fillId="4" borderId="0" xfId="0" quotePrefix="1" applyNumberFormat="1" applyFill="1" applyBorder="1" applyAlignment="1">
      <alignment horizontal="fill"/>
    </xf>
    <xf numFmtId="1" fontId="10" fillId="4" borderId="7" xfId="0" applyNumberFormat="1" applyFont="1" applyFill="1" applyBorder="1" applyAlignment="1"/>
    <xf numFmtId="166" fontId="0" fillId="4" borderId="11" xfId="0" applyNumberFormat="1" applyFill="1" applyBorder="1" applyAlignment="1"/>
    <xf numFmtId="166" fontId="8" fillId="4" borderId="4" xfId="0" applyNumberFormat="1" applyFont="1" applyFill="1" applyBorder="1" applyAlignment="1">
      <alignment horizontal="right"/>
    </xf>
    <xf numFmtId="165" fontId="0" fillId="4" borderId="7" xfId="0" applyNumberFormat="1" applyFill="1" applyBorder="1" applyAlignment="1"/>
    <xf numFmtId="165" fontId="0" fillId="4" borderId="7" xfId="0" applyNumberFormat="1" applyFill="1" applyBorder="1" applyAlignment="1">
      <alignment horizontal="right"/>
    </xf>
    <xf numFmtId="166" fontId="8" fillId="4" borderId="2" xfId="0" applyNumberFormat="1" applyFont="1" applyFill="1" applyBorder="1" applyAlignment="1"/>
    <xf numFmtId="0" fontId="6" fillId="4" borderId="3" xfId="0" applyFont="1" applyFill="1" applyBorder="1" applyAlignment="1">
      <alignment horizontal="right"/>
    </xf>
    <xf numFmtId="2" fontId="0" fillId="4" borderId="0" xfId="0" applyNumberFormat="1" applyFill="1" applyBorder="1" applyAlignment="1"/>
    <xf numFmtId="0" fontId="6" fillId="4" borderId="0" xfId="0" applyNumberFormat="1" applyFont="1" applyFill="1" applyBorder="1" applyAlignment="1"/>
    <xf numFmtId="0" fontId="0" fillId="4" borderId="0" xfId="0" applyFill="1" applyBorder="1" applyAlignment="1"/>
    <xf numFmtId="10" fontId="6" fillId="4" borderId="4" xfId="0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1" fontId="4" fillId="4" borderId="0" xfId="0" applyNumberFormat="1" applyFont="1" applyFill="1" applyBorder="1" applyAlignment="1"/>
    <xf numFmtId="0" fontId="11" fillId="4" borderId="0" xfId="0" applyFont="1" applyFill="1" applyAlignment="1">
      <alignment horizontal="justify"/>
    </xf>
    <xf numFmtId="0" fontId="1" fillId="4" borderId="0" xfId="0" applyNumberFormat="1" applyFont="1" applyFill="1" applyBorder="1" applyAlignment="1">
      <alignment horizontal="left"/>
    </xf>
    <xf numFmtId="0" fontId="1" fillId="4" borderId="0" xfId="0" applyNumberFormat="1" applyFont="1" applyFill="1" applyBorder="1" applyAlignment="1"/>
    <xf numFmtId="1" fontId="0" fillId="4" borderId="0" xfId="0" applyNumberFormat="1" applyFill="1" applyBorder="1" applyAlignment="1"/>
    <xf numFmtId="0" fontId="6" fillId="4" borderId="0" xfId="0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8" fillId="4" borderId="0" xfId="0" applyNumberFormat="1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8" fillId="4" borderId="0" xfId="0" applyFont="1" applyFill="1" applyBorder="1" applyAlignment="1"/>
    <xf numFmtId="0" fontId="0" fillId="4" borderId="0" xfId="0" applyNumberFormat="1" applyFont="1" applyFill="1" applyAlignment="1">
      <alignment horizontal="centerContinuous"/>
    </xf>
    <xf numFmtId="0" fontId="5" fillId="4" borderId="0" xfId="0" applyNumberFormat="1" applyFont="1" applyFill="1" applyBorder="1" applyAlignment="1">
      <alignment horizontal="left"/>
    </xf>
    <xf numFmtId="0" fontId="0" fillId="4" borderId="7" xfId="0" applyNumberFormat="1" applyFont="1" applyFill="1" applyBorder="1" applyAlignment="1">
      <alignment horizontal="centerContinuous"/>
    </xf>
    <xf numFmtId="0" fontId="0" fillId="4" borderId="14" xfId="0" applyFill="1" applyBorder="1" applyAlignment="1"/>
    <xf numFmtId="0" fontId="0" fillId="4" borderId="15" xfId="0" applyFill="1" applyBorder="1" applyAlignment="1"/>
    <xf numFmtId="0" fontId="0" fillId="4" borderId="16" xfId="0" applyFill="1" applyBorder="1" applyAlignment="1"/>
    <xf numFmtId="0" fontId="2" fillId="4" borderId="0" xfId="0" applyNumberFormat="1" applyFont="1" applyFill="1" applyAlignment="1">
      <alignment horizontal="centerContinuous"/>
    </xf>
    <xf numFmtId="0" fontId="0" fillId="4" borderId="0" xfId="0" applyFill="1" applyAlignment="1">
      <alignment horizontal="centerContinuous" vertical="center"/>
    </xf>
    <xf numFmtId="0" fontId="0" fillId="4" borderId="9" xfId="0" applyFill="1" applyBorder="1" applyAlignment="1"/>
    <xf numFmtId="0" fontId="6" fillId="4" borderId="0" xfId="0" applyNumberFormat="1" applyFont="1" applyFill="1" applyBorder="1" applyAlignment="1">
      <alignment wrapText="1"/>
    </xf>
    <xf numFmtId="16" fontId="10" fillId="0" borderId="0" xfId="0" quotePrefix="1" applyNumberFormat="1" applyFont="1" applyAlignment="1"/>
    <xf numFmtId="0" fontId="0" fillId="7" borderId="0" xfId="0" applyFill="1" applyAlignment="1"/>
    <xf numFmtId="0" fontId="4" fillId="4" borderId="12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right"/>
    </xf>
    <xf numFmtId="0" fontId="7" fillId="4" borderId="4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/>
    <xf numFmtId="166" fontId="10" fillId="4" borderId="3" xfId="0" applyNumberFormat="1" applyFont="1" applyFill="1" applyBorder="1" applyAlignment="1"/>
    <xf numFmtId="2" fontId="0" fillId="8" borderId="0" xfId="0" applyNumberFormat="1" applyFill="1" applyAlignment="1"/>
    <xf numFmtId="166" fontId="1" fillId="4" borderId="4" xfId="0" applyNumberFormat="1" applyFont="1" applyFill="1" applyBorder="1" applyAlignment="1"/>
    <xf numFmtId="0" fontId="0" fillId="4" borderId="3" xfId="0" applyNumberFormat="1" applyFont="1" applyFill="1" applyBorder="1" applyAlignment="1">
      <alignment horizontal="centerContinuous"/>
    </xf>
    <xf numFmtId="165" fontId="10" fillId="4" borderId="3" xfId="0" applyNumberFormat="1" applyFont="1" applyFill="1" applyBorder="1" applyAlignment="1">
      <alignment horizontal="right"/>
    </xf>
    <xf numFmtId="164" fontId="0" fillId="0" borderId="0" xfId="1" applyFont="1"/>
    <xf numFmtId="164" fontId="0" fillId="0" borderId="0" xfId="0" applyNumberFormat="1" applyAlignment="1"/>
    <xf numFmtId="0" fontId="10" fillId="4" borderId="0" xfId="0" applyFont="1" applyFill="1" applyBorder="1" applyAlignment="1"/>
    <xf numFmtId="0" fontId="7" fillId="4" borderId="0" xfId="0" applyNumberFormat="1" applyFont="1" applyFill="1" applyBorder="1" applyAlignment="1">
      <alignment horizontal="centerContinuous"/>
    </xf>
    <xf numFmtId="0" fontId="7" fillId="4" borderId="0" xfId="0" applyNumberFormat="1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10" fillId="4" borderId="0" xfId="0" applyNumberFormat="1" applyFont="1" applyFill="1" applyBorder="1" applyAlignment="1">
      <alignment horizontal="left"/>
    </xf>
    <xf numFmtId="2" fontId="0" fillId="9" borderId="0" xfId="0" applyNumberFormat="1" applyFill="1" applyAlignment="1"/>
    <xf numFmtId="0" fontId="4" fillId="4" borderId="3" xfId="0" quotePrefix="1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wrapText="1"/>
    </xf>
    <xf numFmtId="166" fontId="10" fillId="4" borderId="12" xfId="0" applyNumberFormat="1" applyFont="1" applyFill="1" applyBorder="1" applyAlignment="1">
      <alignment horizontal="right"/>
    </xf>
    <xf numFmtId="2" fontId="6" fillId="5" borderId="0" xfId="0" applyNumberFormat="1" applyFont="1" applyFill="1" applyAlignment="1"/>
    <xf numFmtId="2" fontId="6" fillId="6" borderId="0" xfId="0" applyNumberFormat="1" applyFont="1" applyFill="1" applyAlignment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64" fontId="10" fillId="0" borderId="22" xfId="1" applyFont="1" applyBorder="1" applyAlignment="1">
      <alignment horizontal="center"/>
    </xf>
    <xf numFmtId="164" fontId="10" fillId="0" borderId="0" xfId="1" applyFont="1" applyBorder="1" applyAlignment="1">
      <alignment horizontal="center"/>
    </xf>
    <xf numFmtId="0" fontId="0" fillId="0" borderId="23" xfId="0" applyBorder="1" applyAlignment="1"/>
    <xf numFmtId="0" fontId="0" fillId="0" borderId="4" xfId="0" applyBorder="1" applyAlignment="1"/>
    <xf numFmtId="164" fontId="0" fillId="0" borderId="24" xfId="1" applyFont="1" applyBorder="1"/>
    <xf numFmtId="164" fontId="0" fillId="0" borderId="0" xfId="1" applyFont="1" applyBorder="1"/>
    <xf numFmtId="0" fontId="0" fillId="0" borderId="25" xfId="0" applyBorder="1" applyAlignment="1"/>
    <xf numFmtId="0" fontId="0" fillId="0" borderId="26" xfId="0" applyBorder="1" applyAlignment="1"/>
    <xf numFmtId="164" fontId="0" fillId="0" borderId="27" xfId="1" applyFont="1" applyBorder="1"/>
    <xf numFmtId="0" fontId="0" fillId="0" borderId="20" xfId="0" applyBorder="1" applyAlignment="1"/>
    <xf numFmtId="0" fontId="0" fillId="0" borderId="21" xfId="0" applyBorder="1" applyAlignment="1"/>
    <xf numFmtId="164" fontId="10" fillId="0" borderId="22" xfId="1" applyFont="1" applyBorder="1"/>
    <xf numFmtId="164" fontId="10" fillId="0" borderId="0" xfId="1" applyFont="1" applyBorder="1"/>
    <xf numFmtId="2" fontId="10" fillId="0" borderId="28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2" fontId="10" fillId="0" borderId="30" xfId="0" applyNumberFormat="1" applyFont="1" applyBorder="1" applyAlignment="1">
      <alignment horizontal="center"/>
    </xf>
    <xf numFmtId="2" fontId="10" fillId="0" borderId="31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0" xfId="0" applyBorder="1" applyAlignment="1"/>
    <xf numFmtId="2" fontId="0" fillId="0" borderId="32" xfId="0" applyNumberFormat="1" applyBorder="1" applyAlignment="1"/>
    <xf numFmtId="2" fontId="0" fillId="0" borderId="6" xfId="0" applyNumberFormat="1" applyBorder="1" applyAlignment="1"/>
    <xf numFmtId="2" fontId="0" fillId="0" borderId="7" xfId="0" applyNumberFormat="1" applyBorder="1" applyAlignment="1"/>
    <xf numFmtId="0" fontId="0" fillId="0" borderId="33" xfId="0" applyBorder="1" applyAlignment="1"/>
    <xf numFmtId="2" fontId="0" fillId="0" borderId="33" xfId="0" applyNumberFormat="1" applyBorder="1" applyAlignment="1"/>
    <xf numFmtId="2" fontId="0" fillId="0" borderId="34" xfId="0" applyNumberFormat="1" applyBorder="1" applyAlignment="1"/>
    <xf numFmtId="2" fontId="0" fillId="0" borderId="35" xfId="0" applyNumberFormat="1" applyBorder="1" applyAlignment="1"/>
    <xf numFmtId="2" fontId="0" fillId="0" borderId="16" xfId="0" applyNumberFormat="1" applyBorder="1" applyAlignment="1"/>
    <xf numFmtId="2" fontId="0" fillId="0" borderId="36" xfId="0" applyNumberFormat="1" applyBorder="1" applyAlignment="1"/>
    <xf numFmtId="164" fontId="10" fillId="0" borderId="37" xfId="1" applyFont="1" applyBorder="1"/>
    <xf numFmtId="164" fontId="10" fillId="0" borderId="35" xfId="1" applyFont="1" applyBorder="1"/>
    <xf numFmtId="164" fontId="10" fillId="0" borderId="16" xfId="1" applyFont="1" applyBorder="1"/>
    <xf numFmtId="2" fontId="0" fillId="0" borderId="37" xfId="0" applyNumberFormat="1" applyBorder="1" applyAlignment="1"/>
    <xf numFmtId="164" fontId="0" fillId="0" borderId="0" xfId="0" applyNumberFormat="1" applyBorder="1" applyAlignment="1"/>
    <xf numFmtId="2" fontId="10" fillId="0" borderId="37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/>
    <xf numFmtId="164" fontId="10" fillId="0" borderId="34" xfId="1" applyFont="1" applyBorder="1"/>
    <xf numFmtId="164" fontId="10" fillId="0" borderId="15" xfId="1" applyFont="1" applyBorder="1"/>
    <xf numFmtId="2" fontId="10" fillId="0" borderId="37" xfId="0" applyNumberFormat="1" applyFont="1" applyBorder="1" applyAlignment="1">
      <alignment horizontal="center"/>
    </xf>
    <xf numFmtId="164" fontId="10" fillId="0" borderId="36" xfId="1" applyFont="1" applyBorder="1"/>
    <xf numFmtId="2" fontId="1" fillId="0" borderId="6" xfId="6" applyBorder="1"/>
    <xf numFmtId="0" fontId="6" fillId="10" borderId="0" xfId="0" applyFont="1" applyFill="1" applyAlignment="1"/>
    <xf numFmtId="0" fontId="0" fillId="10" borderId="0" xfId="0" applyFill="1" applyAlignment="1"/>
    <xf numFmtId="2" fontId="10" fillId="3" borderId="0" xfId="0" applyNumberFormat="1" applyFont="1" applyFill="1" applyAlignment="1"/>
    <xf numFmtId="169" fontId="21" fillId="4" borderId="38" xfId="0" applyNumberFormat="1" applyFont="1" applyFill="1" applyBorder="1" applyAlignment="1"/>
    <xf numFmtId="0" fontId="17" fillId="4" borderId="0" xfId="0" applyFont="1" applyFill="1" applyAlignment="1"/>
    <xf numFmtId="0" fontId="21" fillId="4" borderId="0" xfId="0" applyFont="1" applyFill="1" applyAlignment="1">
      <alignment horizontal="center"/>
    </xf>
    <xf numFmtId="0" fontId="21" fillId="0" borderId="0" xfId="0" applyFont="1" applyAlignment="1"/>
    <xf numFmtId="169" fontId="21" fillId="4" borderId="13" xfId="0" applyNumberFormat="1" applyFont="1" applyFill="1" applyBorder="1" applyAlignment="1"/>
    <xf numFmtId="169" fontId="21" fillId="4" borderId="12" xfId="0" applyNumberFormat="1" applyFont="1" applyFill="1" applyBorder="1" applyAlignment="1">
      <alignment horizontal="center"/>
    </xf>
    <xf numFmtId="169" fontId="21" fillId="4" borderId="39" xfId="0" applyNumberFormat="1" applyFont="1" applyFill="1" applyBorder="1" applyAlignment="1"/>
    <xf numFmtId="169" fontId="21" fillId="4" borderId="40" xfId="0" applyNumberFormat="1" applyFont="1" applyFill="1" applyBorder="1" applyAlignment="1">
      <alignment horizontal="center"/>
    </xf>
    <xf numFmtId="169" fontId="21" fillId="4" borderId="41" xfId="0" applyNumberFormat="1" applyFont="1" applyFill="1" applyBorder="1" applyAlignment="1">
      <alignment horizontal="center"/>
    </xf>
    <xf numFmtId="0" fontId="17" fillId="4" borderId="38" xfId="0" applyFont="1" applyFill="1" applyBorder="1" applyAlignment="1"/>
    <xf numFmtId="169" fontId="21" fillId="4" borderId="6" xfId="0" applyNumberFormat="1" applyFont="1" applyFill="1" applyBorder="1" applyAlignment="1"/>
    <xf numFmtId="169" fontId="21" fillId="4" borderId="3" xfId="0" applyNumberFormat="1" applyFont="1" applyFill="1" applyBorder="1" applyAlignment="1"/>
    <xf numFmtId="9" fontId="21" fillId="4" borderId="6" xfId="0" applyNumberFormat="1" applyFont="1" applyFill="1" applyBorder="1" applyAlignment="1"/>
    <xf numFmtId="0" fontId="17" fillId="4" borderId="3" xfId="0" applyFont="1" applyFill="1" applyBorder="1" applyAlignment="1"/>
    <xf numFmtId="169" fontId="21" fillId="4" borderId="4" xfId="0" applyNumberFormat="1" applyFont="1" applyFill="1" applyBorder="1" applyAlignment="1"/>
    <xf numFmtId="9" fontId="21" fillId="4" borderId="4" xfId="0" applyNumberFormat="1" applyFont="1" applyFill="1" applyBorder="1" applyAlignment="1"/>
    <xf numFmtId="169" fontId="21" fillId="4" borderId="26" xfId="0" applyNumberFormat="1" applyFont="1" applyFill="1" applyBorder="1" applyAlignment="1"/>
    <xf numFmtId="9" fontId="21" fillId="4" borderId="26" xfId="0" applyNumberFormat="1" applyFont="1" applyFill="1" applyBorder="1" applyAlignment="1"/>
    <xf numFmtId="170" fontId="21" fillId="4" borderId="4" xfId="1" applyNumberFormat="1" applyFont="1" applyFill="1" applyBorder="1"/>
    <xf numFmtId="169" fontId="21" fillId="4" borderId="0" xfId="0" applyNumberFormat="1" applyFont="1" applyFill="1" applyBorder="1" applyAlignment="1"/>
    <xf numFmtId="9" fontId="21" fillId="4" borderId="0" xfId="0" applyNumberFormat="1" applyFont="1" applyFill="1" applyBorder="1" applyAlignment="1"/>
    <xf numFmtId="170" fontId="21" fillId="4" borderId="0" xfId="1" applyNumberFormat="1" applyFont="1" applyFill="1" applyBorder="1"/>
    <xf numFmtId="169" fontId="21" fillId="2" borderId="3" xfId="0" applyNumberFormat="1" applyFont="1" applyFill="1" applyBorder="1" applyAlignment="1"/>
    <xf numFmtId="169" fontId="22" fillId="4" borderId="42" xfId="0" applyNumberFormat="1" applyFont="1" applyFill="1" applyBorder="1" applyAlignment="1">
      <alignment wrapText="1"/>
    </xf>
    <xf numFmtId="0" fontId="22" fillId="4" borderId="42" xfId="0" applyNumberFormat="1" applyFont="1" applyFill="1" applyBorder="1" applyAlignment="1">
      <alignment horizontal="center" wrapText="1"/>
    </xf>
    <xf numFmtId="169" fontId="22" fillId="4" borderId="3" xfId="0" applyNumberFormat="1" applyFont="1" applyFill="1" applyBorder="1" applyAlignment="1"/>
    <xf numFmtId="169" fontId="23" fillId="4" borderId="3" xfId="0" applyNumberFormat="1" applyFont="1" applyFill="1" applyBorder="1" applyAlignment="1"/>
    <xf numFmtId="167" fontId="22" fillId="4" borderId="3" xfId="0" applyNumberFormat="1" applyFont="1" applyFill="1" applyBorder="1" applyAlignment="1"/>
    <xf numFmtId="169" fontId="22" fillId="4" borderId="3" xfId="0" applyNumberFormat="1" applyFont="1" applyFill="1" applyBorder="1" applyAlignment="1">
      <alignment wrapText="1"/>
    </xf>
    <xf numFmtId="169" fontId="22" fillId="4" borderId="4" xfId="0" applyNumberFormat="1" applyFont="1" applyFill="1" applyBorder="1" applyAlignment="1"/>
    <xf numFmtId="2" fontId="10" fillId="0" borderId="3" xfId="6" applyFont="1" applyBorder="1"/>
    <xf numFmtId="2" fontId="10" fillId="0" borderId="6" xfId="6" applyFont="1" applyBorder="1"/>
    <xf numFmtId="169" fontId="21" fillId="4" borderId="4" xfId="1" applyNumberFormat="1" applyFont="1" applyFill="1" applyBorder="1"/>
    <xf numFmtId="169" fontId="21" fillId="3" borderId="3" xfId="0" applyNumberFormat="1" applyFont="1" applyFill="1" applyBorder="1" applyAlignment="1"/>
    <xf numFmtId="0" fontId="10" fillId="8" borderId="26" xfId="0" applyFont="1" applyFill="1" applyBorder="1" applyAlignment="1"/>
    <xf numFmtId="0" fontId="10" fillId="10" borderId="6" xfId="0" applyFont="1" applyFill="1" applyBorder="1" applyAlignment="1"/>
    <xf numFmtId="2" fontId="10" fillId="8" borderId="43" xfId="0" applyNumberFormat="1" applyFont="1" applyFill="1" applyBorder="1" applyAlignment="1"/>
    <xf numFmtId="2" fontId="10" fillId="10" borderId="43" xfId="0" applyNumberFormat="1" applyFont="1" applyFill="1" applyBorder="1" applyAlignment="1"/>
    <xf numFmtId="168" fontId="6" fillId="0" borderId="3" xfId="0" applyNumberFormat="1" applyFont="1" applyFill="1" applyBorder="1" applyAlignment="1">
      <alignment horizontal="right"/>
    </xf>
    <xf numFmtId="168" fontId="6" fillId="0" borderId="4" xfId="0" applyNumberFormat="1" applyFont="1" applyFill="1" applyBorder="1" applyAlignment="1">
      <alignment horizontal="right"/>
    </xf>
    <xf numFmtId="168" fontId="10" fillId="0" borderId="3" xfId="0" applyNumberFormat="1" applyFont="1" applyFill="1" applyBorder="1" applyAlignment="1">
      <alignment horizontal="right"/>
    </xf>
    <xf numFmtId="164" fontId="6" fillId="0" borderId="3" xfId="1" applyFont="1" applyFill="1" applyBorder="1" applyAlignment="1">
      <alignment horizontal="right"/>
    </xf>
    <xf numFmtId="166" fontId="0" fillId="0" borderId="0" xfId="0" applyNumberFormat="1" applyFill="1" applyBorder="1" applyAlignment="1"/>
    <xf numFmtId="168" fontId="6" fillId="0" borderId="3" xfId="0" applyNumberFormat="1" applyFont="1" applyFill="1" applyBorder="1" applyAlignment="1">
      <alignment horizontal="right" vertical="top"/>
    </xf>
    <xf numFmtId="168" fontId="6" fillId="0" borderId="12" xfId="0" applyNumberFormat="1" applyFont="1" applyFill="1" applyBorder="1" applyAlignment="1">
      <alignment horizontal="right"/>
    </xf>
    <xf numFmtId="168" fontId="10" fillId="0" borderId="12" xfId="0" applyNumberFormat="1" applyFont="1" applyFill="1" applyBorder="1" applyAlignment="1">
      <alignment horizontal="right"/>
    </xf>
    <xf numFmtId="164" fontId="6" fillId="0" borderId="4" xfId="1" applyFont="1" applyFill="1" applyBorder="1" applyAlignment="1">
      <alignment horizontal="right"/>
    </xf>
    <xf numFmtId="0" fontId="24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/>
    <xf numFmtId="164" fontId="0" fillId="0" borderId="4" xfId="1" applyFont="1" applyFill="1" applyBorder="1" applyAlignment="1"/>
    <xf numFmtId="164" fontId="0" fillId="0" borderId="0" xfId="1" applyFont="1" applyFill="1" applyBorder="1" applyAlignment="1"/>
    <xf numFmtId="0" fontId="29" fillId="0" borderId="12" xfId="0" applyNumberFormat="1" applyFont="1" applyFill="1" applyBorder="1" applyAlignment="1">
      <alignment horizontal="center" vertical="top" wrapText="1"/>
    </xf>
    <xf numFmtId="0" fontId="0" fillId="0" borderId="12" xfId="0" applyNumberFormat="1" applyFont="1" applyFill="1" applyBorder="1" applyAlignment="1">
      <alignment horizontal="center" vertical="top" wrapText="1"/>
    </xf>
    <xf numFmtId="0" fontId="28" fillId="0" borderId="12" xfId="0" applyNumberFormat="1" applyFont="1" applyFill="1" applyBorder="1" applyAlignment="1">
      <alignment horizontal="center" vertical="top" wrapText="1"/>
    </xf>
    <xf numFmtId="168" fontId="4" fillId="0" borderId="3" xfId="0" applyNumberFormat="1" applyFont="1" applyFill="1" applyBorder="1" applyAlignment="1">
      <alignment horizontal="right"/>
    </xf>
    <xf numFmtId="168" fontId="4" fillId="0" borderId="4" xfId="0" applyNumberFormat="1" applyFont="1" applyFill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2" fillId="0" borderId="12" xfId="0" applyNumberFormat="1" applyFont="1" applyFill="1" applyBorder="1" applyAlignment="1">
      <alignment horizontal="right"/>
    </xf>
    <xf numFmtId="168" fontId="4" fillId="0" borderId="3" xfId="0" applyNumberFormat="1" applyFont="1" applyFill="1" applyBorder="1" applyAlignment="1">
      <alignment horizontal="right" vertical="top"/>
    </xf>
    <xf numFmtId="168" fontId="4" fillId="0" borderId="12" xfId="0" applyNumberFormat="1" applyFont="1" applyFill="1" applyBorder="1" applyAlignment="1">
      <alignment horizontal="right"/>
    </xf>
    <xf numFmtId="164" fontId="4" fillId="0" borderId="4" xfId="1" applyFont="1" applyFill="1" applyBorder="1" applyAlignment="1">
      <alignment horizontal="right"/>
    </xf>
    <xf numFmtId="164" fontId="4" fillId="0" borderId="3" xfId="1" applyFont="1" applyFill="1" applyBorder="1" applyAlignment="1">
      <alignment horizontal="right"/>
    </xf>
    <xf numFmtId="170" fontId="4" fillId="0" borderId="4" xfId="1" applyNumberFormat="1" applyFont="1" applyFill="1" applyBorder="1" applyAlignment="1">
      <alignment horizontal="right"/>
    </xf>
    <xf numFmtId="168" fontId="30" fillId="0" borderId="3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top" wrapText="1"/>
    </xf>
    <xf numFmtId="0" fontId="0" fillId="0" borderId="0" xfId="0" applyFill="1" applyAlignment="1"/>
    <xf numFmtId="0" fontId="0" fillId="0" borderId="8" xfId="0" applyFill="1" applyBorder="1" applyAlignment="1"/>
    <xf numFmtId="0" fontId="0" fillId="0" borderId="10" xfId="0" applyNumberFormat="1" applyFont="1" applyFill="1" applyBorder="1" applyAlignment="1">
      <alignment horizontal="centerContinuous"/>
    </xf>
    <xf numFmtId="0" fontId="13" fillId="0" borderId="9" xfId="0" applyFont="1" applyFill="1" applyBorder="1" applyAlignment="1"/>
    <xf numFmtId="0" fontId="0" fillId="0" borderId="11" xfId="0" applyFill="1" applyBorder="1" applyAlignment="1"/>
    <xf numFmtId="0" fontId="0" fillId="0" borderId="7" xfId="0" applyNumberFormat="1" applyFont="1" applyFill="1" applyBorder="1" applyAlignment="1">
      <alignment horizontal="centerContinuous"/>
    </xf>
    <xf numFmtId="0" fontId="26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0" fillId="0" borderId="44" xfId="0" applyNumberFormat="1" applyFont="1" applyFill="1" applyBorder="1" applyAlignment="1">
      <alignment horizontal="centerContinuous"/>
    </xf>
    <xf numFmtId="0" fontId="0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top" wrapText="1"/>
    </xf>
    <xf numFmtId="1" fontId="0" fillId="0" borderId="3" xfId="0" applyNumberFormat="1" applyFill="1" applyBorder="1" applyAlignment="1"/>
    <xf numFmtId="166" fontId="10" fillId="0" borderId="3" xfId="0" applyNumberFormat="1" applyFont="1" applyFill="1" applyBorder="1" applyAlignment="1"/>
    <xf numFmtId="0" fontId="2" fillId="0" borderId="7" xfId="0" applyNumberFormat="1" applyFont="1" applyFill="1" applyBorder="1" applyAlignment="1">
      <alignment horizontal="center" wrapText="1"/>
    </xf>
    <xf numFmtId="166" fontId="1" fillId="0" borderId="3" xfId="0" applyNumberFormat="1" applyFont="1" applyFill="1" applyBorder="1" applyAlignment="1"/>
    <xf numFmtId="168" fontId="0" fillId="0" borderId="0" xfId="0" applyNumberFormat="1" applyFill="1" applyAlignment="1"/>
    <xf numFmtId="166" fontId="0" fillId="0" borderId="11" xfId="0" applyNumberFormat="1" applyFill="1" applyBorder="1" applyAlignment="1"/>
    <xf numFmtId="166" fontId="3" fillId="0" borderId="7" xfId="0" applyNumberFormat="1" applyFont="1" applyFill="1" applyBorder="1" applyAlignment="1">
      <alignment horizontal="center" vertical="top" wrapText="1"/>
    </xf>
    <xf numFmtId="166" fontId="0" fillId="0" borderId="7" xfId="0" applyNumberFormat="1" applyFill="1" applyBorder="1" applyAlignment="1"/>
    <xf numFmtId="0" fontId="0" fillId="0" borderId="11" xfId="0" applyFill="1" applyBorder="1" applyAlignment="1">
      <alignment horizontal="right"/>
    </xf>
    <xf numFmtId="166" fontId="6" fillId="0" borderId="3" xfId="0" applyNumberFormat="1" applyFont="1" applyFill="1" applyBorder="1" applyAlignment="1"/>
    <xf numFmtId="166" fontId="1" fillId="0" borderId="3" xfId="0" applyNumberFormat="1" applyFont="1" applyFill="1" applyBorder="1" applyAlignment="1">
      <alignment wrapText="1"/>
    </xf>
    <xf numFmtId="166" fontId="6" fillId="0" borderId="3" xfId="0" applyNumberFormat="1" applyFont="1" applyFill="1" applyBorder="1" applyAlignment="1">
      <alignment wrapText="1"/>
    </xf>
    <xf numFmtId="166" fontId="0" fillId="0" borderId="7" xfId="0" quotePrefix="1" applyNumberFormat="1" applyFill="1" applyBorder="1" applyAlignment="1">
      <alignment horizontal="fill"/>
    </xf>
    <xf numFmtId="171" fontId="4" fillId="0" borderId="4" xfId="1" applyNumberFormat="1" applyFont="1" applyFill="1" applyBorder="1" applyAlignment="1">
      <alignment horizontal="right"/>
    </xf>
    <xf numFmtId="166" fontId="0" fillId="0" borderId="3" xfId="0" applyNumberFormat="1" applyFont="1" applyFill="1" applyBorder="1" applyAlignment="1"/>
    <xf numFmtId="166" fontId="0" fillId="0" borderId="3" xfId="0" applyNumberFormat="1" applyFill="1" applyBorder="1" applyAlignment="1"/>
    <xf numFmtId="166" fontId="0" fillId="0" borderId="4" xfId="0" applyNumberFormat="1" applyFill="1" applyBorder="1" applyAlignment="1"/>
    <xf numFmtId="166" fontId="1" fillId="0" borderId="4" xfId="0" applyNumberFormat="1" applyFont="1" applyFill="1" applyBorder="1" applyAlignment="1"/>
    <xf numFmtId="166" fontId="0" fillId="0" borderId="5" xfId="0" applyNumberFormat="1" applyFill="1" applyBorder="1" applyAlignment="1"/>
    <xf numFmtId="0" fontId="10" fillId="0" borderId="0" xfId="0" applyFont="1" applyFill="1" applyAlignment="1"/>
    <xf numFmtId="1" fontId="7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7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0" fillId="0" borderId="14" xfId="0" applyFill="1" applyBorder="1" applyAlignment="1"/>
    <xf numFmtId="0" fontId="10" fillId="0" borderId="15" xfId="0" applyFont="1" applyFill="1" applyBorder="1" applyAlignment="1">
      <alignment horizontal="right"/>
    </xf>
    <xf numFmtId="166" fontId="0" fillId="0" borderId="16" xfId="0" applyNumberFormat="1" applyFill="1" applyBorder="1" applyAlignment="1"/>
    <xf numFmtId="0" fontId="13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Alignment="1"/>
    <xf numFmtId="0" fontId="13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169" fontId="21" fillId="4" borderId="13" xfId="0" applyNumberFormat="1" applyFont="1" applyFill="1" applyBorder="1" applyAlignment="1">
      <alignment horizontal="center"/>
    </xf>
    <xf numFmtId="169" fontId="21" fillId="4" borderId="48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</cellXfs>
  <cellStyles count="7">
    <cellStyle name="Comma" xfId="1" builtinId="3"/>
    <cellStyle name="Comma 21" xfId="2"/>
    <cellStyle name="Normal" xfId="0" builtinId="0"/>
    <cellStyle name="Normal 2" xfId="3"/>
    <cellStyle name="Normal 3" xfId="4"/>
    <cellStyle name="Normal_Sheet3" xfId="5"/>
    <cellStyle name="Normal_TB_GRP_sept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147</xdr:row>
      <xdr:rowOff>66675</xdr:rowOff>
    </xdr:from>
    <xdr:to>
      <xdr:col>25</xdr:col>
      <xdr:colOff>390525</xdr:colOff>
      <xdr:row>153</xdr:row>
      <xdr:rowOff>57150</xdr:rowOff>
    </xdr:to>
    <xdr:sp macro="" textlink="">
      <xdr:nvSpPr>
        <xdr:cNvPr id="53378" name="Line 8"/>
        <xdr:cNvSpPr>
          <a:spLocks noChangeShapeType="1"/>
        </xdr:cNvSpPr>
      </xdr:nvSpPr>
      <xdr:spPr bwMode="auto">
        <a:xfrm flipV="1">
          <a:off x="15259050" y="25593675"/>
          <a:ext cx="3467100" cy="1200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133350</xdr:colOff>
      <xdr:row>147</xdr:row>
      <xdr:rowOff>38100</xdr:rowOff>
    </xdr:from>
    <xdr:to>
      <xdr:col>24</xdr:col>
      <xdr:colOff>419100</xdr:colOff>
      <xdr:row>155</xdr:row>
      <xdr:rowOff>9525</xdr:rowOff>
    </xdr:to>
    <xdr:sp macro="" textlink="">
      <xdr:nvSpPr>
        <xdr:cNvPr id="53379" name="Line 19"/>
        <xdr:cNvSpPr>
          <a:spLocks noChangeShapeType="1"/>
        </xdr:cNvSpPr>
      </xdr:nvSpPr>
      <xdr:spPr bwMode="auto">
        <a:xfrm flipV="1">
          <a:off x="17859375" y="25565100"/>
          <a:ext cx="285750" cy="1504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58</xdr:row>
      <xdr:rowOff>0</xdr:rowOff>
    </xdr:from>
    <xdr:to>
      <xdr:col>25</xdr:col>
      <xdr:colOff>390525</xdr:colOff>
      <xdr:row>58</xdr:row>
      <xdr:rowOff>0</xdr:rowOff>
    </xdr:to>
    <xdr:sp macro="" textlink="">
      <xdr:nvSpPr>
        <xdr:cNvPr id="54402" name="Line 1"/>
        <xdr:cNvSpPr>
          <a:spLocks noChangeShapeType="1"/>
        </xdr:cNvSpPr>
      </xdr:nvSpPr>
      <xdr:spPr bwMode="auto">
        <a:xfrm flipV="1">
          <a:off x="16487775" y="10058400"/>
          <a:ext cx="3467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133350</xdr:colOff>
      <xdr:row>58</xdr:row>
      <xdr:rowOff>0</xdr:rowOff>
    </xdr:from>
    <xdr:to>
      <xdr:col>24</xdr:col>
      <xdr:colOff>419100</xdr:colOff>
      <xdr:row>58</xdr:row>
      <xdr:rowOff>0</xdr:rowOff>
    </xdr:to>
    <xdr:sp macro="" textlink="">
      <xdr:nvSpPr>
        <xdr:cNvPr id="54403" name="Line 2"/>
        <xdr:cNvSpPr>
          <a:spLocks noChangeShapeType="1"/>
        </xdr:cNvSpPr>
      </xdr:nvSpPr>
      <xdr:spPr bwMode="auto">
        <a:xfrm flipV="1">
          <a:off x="19088100" y="1005840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/Documents%20and%20Settings/pandyamj/My%20Documents/MUKESH/MC%202008/MAR%2008/INDIAN%20ACCOUNTS/March_2008_Accoun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-DATA"/>
      <sheetName val="GROUPING"/>
      <sheetName val="ACCOUNTS"/>
      <sheetName val="SCHEDULE M"/>
      <sheetName val="Schedule-D"/>
      <sheetName val="DR_CR_BAL"/>
      <sheetName val="CASHFLOW"/>
      <sheetName val="UK_LA_CR"/>
      <sheetName val="CHK"/>
      <sheetName val="Topsheet"/>
      <sheetName val="FinHigh"/>
      <sheetName val="Ratios"/>
      <sheetName val="AC SUM (2)"/>
    </sheetNames>
    <sheetDataSet>
      <sheetData sheetId="0">
        <row r="1">
          <cell r="A1" t="str">
            <v>TRIAL BALANCE DATA TO BE COPIED FROM JDE</v>
          </cell>
        </row>
      </sheetData>
      <sheetData sheetId="1">
        <row r="1">
          <cell r="A1">
            <v>0</v>
          </cell>
        </row>
      </sheetData>
      <sheetData sheetId="2">
        <row r="2">
          <cell r="A2">
            <v>0</v>
          </cell>
        </row>
      </sheetData>
      <sheetData sheetId="3">
        <row r="2">
          <cell r="A2" t="e">
            <v>#REF!</v>
          </cell>
        </row>
      </sheetData>
      <sheetData sheetId="4">
        <row r="2">
          <cell r="A2" t="str">
            <v>CASTROL INDIA LIMITED</v>
          </cell>
        </row>
      </sheetData>
      <sheetData sheetId="5">
        <row r="1">
          <cell r="A1" t="str">
            <v>Castrol India Limited</v>
          </cell>
        </row>
      </sheetData>
      <sheetData sheetId="6">
        <row r="2">
          <cell r="C2" t="str">
            <v xml:space="preserve">                         CASTROL  INDIA  LIMITED</v>
          </cell>
        </row>
      </sheetData>
      <sheetData sheetId="7">
        <row r="1">
          <cell r="B1" t="str">
            <v>JDE_CD</v>
          </cell>
        </row>
      </sheetData>
      <sheetData sheetId="8">
        <row r="2">
          <cell r="B2" t="str">
            <v xml:space="preserve">Changes to be made in Accounts pages on declaration of Dividend </v>
          </cell>
        </row>
      </sheetData>
      <sheetData sheetId="9">
        <row r="11">
          <cell r="A11" t="str">
            <v>CASTROL   INDIA  LIMITED</v>
          </cell>
        </row>
      </sheetData>
      <sheetData sheetId="10">
        <row r="1">
          <cell r="A1" t="str">
            <v>Castrol India LTd.</v>
          </cell>
        </row>
      </sheetData>
      <sheetData sheetId="11">
        <row r="1">
          <cell r="A1" t="str">
            <v>Castrol India Ltd.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62"/>
  <sheetViews>
    <sheetView tabSelected="1" zoomScale="83" zoomScaleNormal="83" zoomScaleSheetLayoutView="65" zoomScalePageLayoutView="83" workbookViewId="0">
      <selection activeCell="F18" sqref="F18"/>
    </sheetView>
  </sheetViews>
  <sheetFormatPr baseColWidth="10" defaultColWidth="8.83203125" defaultRowHeight="12" x14ac:dyDescent="0"/>
  <cols>
    <col min="1" max="1" width="3" style="264" customWidth="1"/>
    <col min="2" max="2" width="5.83203125" style="264" customWidth="1"/>
    <col min="3" max="3" width="13.83203125" style="264" customWidth="1"/>
    <col min="4" max="4" width="13.5" style="264" customWidth="1"/>
    <col min="5" max="5" width="16" style="264" customWidth="1"/>
    <col min="6" max="6" width="53.33203125" style="264" customWidth="1"/>
    <col min="7" max="7" width="11" style="264" customWidth="1"/>
    <col min="8" max="8" width="11.83203125" style="264" hidden="1" customWidth="1"/>
    <col min="9" max="9" width="11" style="264" customWidth="1"/>
    <col min="10" max="10" width="14.33203125" style="264" customWidth="1"/>
    <col min="11" max="11" width="2.6640625" style="264" customWidth="1"/>
    <col min="12" max="12" width="3.5" style="264" customWidth="1"/>
    <col min="13" max="16384" width="8.83203125" style="264"/>
  </cols>
  <sheetData>
    <row r="1" spans="1:12" ht="32.25" customHeight="1">
      <c r="A1" s="264">
        <v>1</v>
      </c>
      <c r="B1" s="265"/>
      <c r="C1" s="308" t="s">
        <v>31</v>
      </c>
      <c r="D1" s="308"/>
      <c r="E1" s="308"/>
      <c r="F1" s="308"/>
      <c r="G1" s="308"/>
      <c r="H1" s="308"/>
      <c r="I1" s="308"/>
      <c r="J1" s="308"/>
      <c r="K1" s="266"/>
      <c r="L1" s="267"/>
    </row>
    <row r="2" spans="1:12" ht="25.5" customHeight="1">
      <c r="B2" s="268"/>
      <c r="C2" s="309" t="s">
        <v>40</v>
      </c>
      <c r="D2" s="309"/>
      <c r="E2" s="309"/>
      <c r="F2" s="309"/>
      <c r="G2" s="309"/>
      <c r="H2" s="309"/>
      <c r="I2" s="309"/>
      <c r="J2" s="309"/>
      <c r="K2" s="269"/>
      <c r="L2" s="270"/>
    </row>
    <row r="3" spans="1:12" ht="25.5" customHeight="1">
      <c r="B3" s="268"/>
      <c r="C3" s="311" t="s">
        <v>438</v>
      </c>
      <c r="D3" s="309"/>
      <c r="E3" s="309"/>
      <c r="F3" s="309"/>
      <c r="G3" s="309"/>
      <c r="H3" s="309"/>
      <c r="I3" s="309"/>
      <c r="J3" s="309"/>
      <c r="K3" s="269"/>
      <c r="L3" s="270"/>
    </row>
    <row r="4" spans="1:12" ht="25.5" customHeight="1">
      <c r="B4" s="268"/>
      <c r="C4" s="309" t="s">
        <v>437</v>
      </c>
      <c r="D4" s="309"/>
      <c r="E4" s="309"/>
      <c r="F4" s="309"/>
      <c r="G4" s="309"/>
      <c r="H4" s="309"/>
      <c r="I4" s="309"/>
      <c r="J4" s="309"/>
      <c r="K4" s="269"/>
      <c r="L4" s="270"/>
    </row>
    <row r="5" spans="1:12" s="271" customFormat="1" ht="20" customHeight="1">
      <c r="B5" s="272"/>
      <c r="C5" s="310" t="s">
        <v>439</v>
      </c>
      <c r="D5" s="310"/>
      <c r="E5" s="310"/>
      <c r="F5" s="310"/>
      <c r="G5" s="310"/>
      <c r="H5" s="310"/>
      <c r="I5" s="310"/>
      <c r="J5" s="310"/>
      <c r="K5" s="269"/>
      <c r="L5" s="261"/>
    </row>
    <row r="6" spans="1:12" s="271" customFormat="1" ht="20" customHeight="1">
      <c r="B6" s="272"/>
      <c r="C6" s="273"/>
      <c r="D6" s="273"/>
      <c r="E6" s="273"/>
      <c r="F6" s="273"/>
      <c r="G6" s="273"/>
      <c r="H6" s="273" t="s">
        <v>405</v>
      </c>
      <c r="I6" s="273"/>
      <c r="J6" s="274" t="s">
        <v>324</v>
      </c>
      <c r="K6" s="269"/>
      <c r="L6" s="36"/>
    </row>
    <row r="7" spans="1:12">
      <c r="B7" s="268"/>
      <c r="C7" s="248"/>
      <c r="D7" s="249"/>
      <c r="E7" s="249"/>
      <c r="F7" s="249"/>
      <c r="G7" s="249"/>
      <c r="H7" s="244"/>
      <c r="I7" s="250"/>
      <c r="J7" s="249"/>
      <c r="K7" s="275"/>
      <c r="L7" s="36"/>
    </row>
    <row r="8" spans="1:12" ht="36" customHeight="1">
      <c r="B8" s="268"/>
      <c r="C8" s="262" t="s">
        <v>85</v>
      </c>
      <c r="D8" s="262" t="s">
        <v>85</v>
      </c>
      <c r="E8" s="262" t="s">
        <v>85</v>
      </c>
      <c r="F8" s="263"/>
      <c r="G8" s="262" t="s">
        <v>306</v>
      </c>
      <c r="H8" s="262" t="s">
        <v>431</v>
      </c>
      <c r="I8" s="262" t="s">
        <v>306</v>
      </c>
      <c r="J8" s="262" t="s">
        <v>335</v>
      </c>
      <c r="K8" s="269"/>
      <c r="L8" s="36"/>
    </row>
    <row r="9" spans="1:12" ht="15">
      <c r="B9" s="268"/>
      <c r="C9" s="262" t="s">
        <v>86</v>
      </c>
      <c r="D9" s="262" t="s">
        <v>86</v>
      </c>
      <c r="E9" s="262" t="s">
        <v>86</v>
      </c>
      <c r="F9" s="262" t="s">
        <v>407</v>
      </c>
      <c r="G9" s="262" t="s">
        <v>171</v>
      </c>
      <c r="H9" s="262" t="s">
        <v>171</v>
      </c>
      <c r="I9" s="262" t="s">
        <v>171</v>
      </c>
      <c r="J9" s="262" t="s">
        <v>171</v>
      </c>
      <c r="K9" s="269"/>
      <c r="L9" s="36"/>
    </row>
    <row r="10" spans="1:12" ht="15">
      <c r="B10" s="268"/>
      <c r="C10" s="262" t="s">
        <v>435</v>
      </c>
      <c r="D10" s="262" t="s">
        <v>436</v>
      </c>
      <c r="E10" s="262" t="s">
        <v>430</v>
      </c>
      <c r="F10" s="276"/>
      <c r="G10" s="262" t="s">
        <v>435</v>
      </c>
      <c r="H10" s="262" t="s">
        <v>430</v>
      </c>
      <c r="I10" s="262" t="s">
        <v>436</v>
      </c>
      <c r="J10" s="262" t="s">
        <v>419</v>
      </c>
      <c r="K10" s="269"/>
      <c r="L10" s="36"/>
    </row>
    <row r="11" spans="1:12" ht="22.5" customHeight="1">
      <c r="B11" s="268"/>
      <c r="C11" s="262" t="s">
        <v>400</v>
      </c>
      <c r="D11" s="262" t="s">
        <v>400</v>
      </c>
      <c r="E11" s="262" t="s">
        <v>400</v>
      </c>
      <c r="F11" s="276"/>
      <c r="G11" s="262" t="s">
        <v>400</v>
      </c>
      <c r="H11" s="262" t="s">
        <v>400</v>
      </c>
      <c r="I11" s="262" t="s">
        <v>400</v>
      </c>
      <c r="J11" s="262" t="s">
        <v>189</v>
      </c>
      <c r="K11" s="269"/>
      <c r="L11" s="36"/>
    </row>
    <row r="12" spans="1:12" ht="21" customHeight="1">
      <c r="B12" s="268"/>
      <c r="C12" s="277"/>
      <c r="D12" s="277"/>
      <c r="E12" s="277"/>
      <c r="F12" s="278"/>
      <c r="G12" s="277"/>
      <c r="H12" s="277"/>
      <c r="I12" s="277"/>
      <c r="J12" s="277"/>
      <c r="K12" s="269"/>
      <c r="L12" s="36"/>
    </row>
    <row r="13" spans="1:12" ht="15">
      <c r="B13" s="268"/>
      <c r="C13" s="279"/>
      <c r="D13" s="279"/>
      <c r="E13" s="279"/>
      <c r="F13" s="280"/>
      <c r="G13" s="279"/>
      <c r="H13" s="279"/>
      <c r="I13" s="279"/>
      <c r="J13" s="279"/>
      <c r="K13" s="281"/>
      <c r="L13" s="36"/>
    </row>
    <row r="14" spans="1:12" ht="15.75" hidden="1" customHeight="1">
      <c r="B14" s="268"/>
      <c r="C14" s="237">
        <v>875.40000000000009</v>
      </c>
      <c r="D14" s="237">
        <v>988</v>
      </c>
      <c r="E14" s="237">
        <v>1112.1999999999998</v>
      </c>
      <c r="F14" s="280" t="s">
        <v>225</v>
      </c>
      <c r="G14" s="237">
        <v>2965.6</v>
      </c>
      <c r="H14" s="237">
        <v>2090.1999999999998</v>
      </c>
      <c r="I14" s="237" t="e">
        <v>#REF!</v>
      </c>
      <c r="J14" s="237">
        <v>3778.7</v>
      </c>
      <c r="K14" s="281"/>
      <c r="L14" s="36"/>
    </row>
    <row r="15" spans="1:12" ht="15.75" hidden="1" customHeight="1">
      <c r="B15" s="268"/>
      <c r="C15" s="235">
        <v>116.5</v>
      </c>
      <c r="D15" s="235">
        <v>132.09999999999997</v>
      </c>
      <c r="E15" s="235">
        <v>144.29999999999998</v>
      </c>
      <c r="F15" s="282" t="s">
        <v>37</v>
      </c>
      <c r="G15" s="235">
        <v>386.7</v>
      </c>
      <c r="H15" s="235">
        <v>270.2</v>
      </c>
      <c r="I15" s="235" t="e">
        <v>#REF!</v>
      </c>
      <c r="J15" s="235">
        <v>493.4</v>
      </c>
      <c r="K15" s="281"/>
      <c r="L15" s="36"/>
    </row>
    <row r="16" spans="1:12" ht="15">
      <c r="A16" s="283"/>
      <c r="B16" s="284"/>
      <c r="C16" s="279"/>
      <c r="D16" s="279"/>
      <c r="E16" s="279"/>
      <c r="F16" s="280" t="s">
        <v>420</v>
      </c>
      <c r="G16" s="279"/>
      <c r="H16" s="279"/>
      <c r="I16" s="279"/>
      <c r="J16" s="279"/>
      <c r="K16" s="285"/>
      <c r="L16" s="36"/>
    </row>
    <row r="17" spans="1:12" ht="15">
      <c r="A17" s="283"/>
      <c r="B17" s="284"/>
      <c r="C17" s="251">
        <v>758.90000000000009</v>
      </c>
      <c r="D17" s="251">
        <v>781.1</v>
      </c>
      <c r="E17" s="251">
        <v>967.89999999999986</v>
      </c>
      <c r="F17" s="282" t="s">
        <v>428</v>
      </c>
      <c r="G17" s="251">
        <v>2578.9</v>
      </c>
      <c r="H17" s="235">
        <v>1819.9999999999998</v>
      </c>
      <c r="I17" s="251">
        <v>2497.1</v>
      </c>
      <c r="J17" s="251">
        <v>3285.3</v>
      </c>
      <c r="K17" s="285"/>
      <c r="L17" s="36"/>
    </row>
    <row r="18" spans="1:12" ht="15">
      <c r="A18" s="283"/>
      <c r="B18" s="268"/>
      <c r="C18" s="252">
        <v>2.8000000000000007</v>
      </c>
      <c r="D18" s="252">
        <v>3.2</v>
      </c>
      <c r="E18" s="252">
        <v>2.9</v>
      </c>
      <c r="F18" s="282" t="s">
        <v>397</v>
      </c>
      <c r="G18" s="252">
        <v>9.3000000000000007</v>
      </c>
      <c r="H18" s="236">
        <v>6.5</v>
      </c>
      <c r="I18" s="252">
        <v>10</v>
      </c>
      <c r="J18" s="252">
        <v>12.7</v>
      </c>
      <c r="K18" s="285"/>
      <c r="L18" s="36"/>
    </row>
    <row r="19" spans="1:12" ht="15">
      <c r="A19" s="283"/>
      <c r="B19" s="268"/>
      <c r="C19" s="253">
        <v>761.7</v>
      </c>
      <c r="D19" s="253">
        <v>784.30000000000007</v>
      </c>
      <c r="E19" s="253">
        <v>970.79999999999984</v>
      </c>
      <c r="F19" s="280" t="s">
        <v>402</v>
      </c>
      <c r="G19" s="253">
        <v>2588.2000000000003</v>
      </c>
      <c r="H19" s="237">
        <v>1826.4999999999998</v>
      </c>
      <c r="I19" s="253">
        <v>2507.1</v>
      </c>
      <c r="J19" s="253">
        <v>3298</v>
      </c>
      <c r="K19" s="285"/>
      <c r="L19" s="36"/>
    </row>
    <row r="20" spans="1:12" ht="15">
      <c r="A20" s="283"/>
      <c r="B20" s="268"/>
      <c r="C20" s="253"/>
      <c r="D20" s="253"/>
      <c r="E20" s="253"/>
      <c r="F20" s="280" t="s">
        <v>424</v>
      </c>
      <c r="G20" s="253"/>
      <c r="H20" s="237"/>
      <c r="I20" s="253"/>
      <c r="J20" s="253"/>
      <c r="K20" s="286"/>
      <c r="L20" s="36"/>
    </row>
    <row r="21" spans="1:12" ht="15">
      <c r="A21" s="283"/>
      <c r="B21" s="268"/>
      <c r="C21" s="251">
        <v>311.60000000000002</v>
      </c>
      <c r="D21" s="251">
        <v>335.2</v>
      </c>
      <c r="E21" s="251">
        <v>350.8</v>
      </c>
      <c r="F21" s="282" t="s">
        <v>421</v>
      </c>
      <c r="G21" s="251">
        <v>1014.6</v>
      </c>
      <c r="H21" s="235">
        <v>703</v>
      </c>
      <c r="I21" s="251">
        <v>1090.5</v>
      </c>
      <c r="J21" s="251">
        <v>1388.4</v>
      </c>
      <c r="K21" s="286"/>
      <c r="L21" s="36"/>
    </row>
    <row r="22" spans="1:12" ht="15">
      <c r="A22" s="283"/>
      <c r="B22" s="268"/>
      <c r="C22" s="251">
        <v>48.799999999999983</v>
      </c>
      <c r="D22" s="251">
        <v>54.9</v>
      </c>
      <c r="E22" s="251">
        <v>72.900000000000006</v>
      </c>
      <c r="F22" s="282" t="s">
        <v>422</v>
      </c>
      <c r="G22" s="251">
        <v>169.2</v>
      </c>
      <c r="H22" s="235">
        <v>120.4</v>
      </c>
      <c r="I22" s="251">
        <v>155</v>
      </c>
      <c r="J22" s="251">
        <v>197.6</v>
      </c>
      <c r="K22" s="286"/>
      <c r="L22" s="36"/>
    </row>
    <row r="23" spans="1:12" ht="15">
      <c r="A23" s="283"/>
      <c r="B23" s="287"/>
      <c r="C23" s="251">
        <v>-2.2000000000000011</v>
      </c>
      <c r="D23" s="251">
        <v>-8.1999999999999993</v>
      </c>
      <c r="E23" s="251">
        <v>-5.8</v>
      </c>
      <c r="F23" s="282" t="s">
        <v>423</v>
      </c>
      <c r="G23" s="251">
        <v>-15.8</v>
      </c>
      <c r="H23" s="235">
        <v>-13.6</v>
      </c>
      <c r="I23" s="251">
        <v>-17.3</v>
      </c>
      <c r="J23" s="251">
        <v>14.8</v>
      </c>
      <c r="K23" s="286"/>
      <c r="L23" s="36"/>
    </row>
    <row r="24" spans="1:12" ht="15">
      <c r="A24" s="283"/>
      <c r="B24" s="268"/>
      <c r="C24" s="251">
        <v>45.8</v>
      </c>
      <c r="D24" s="251">
        <v>46.7</v>
      </c>
      <c r="E24" s="251">
        <v>42.6</v>
      </c>
      <c r="F24" s="282" t="s">
        <v>406</v>
      </c>
      <c r="G24" s="251">
        <v>132.5</v>
      </c>
      <c r="H24" s="235">
        <v>86.7</v>
      </c>
      <c r="I24" s="251">
        <v>133.4</v>
      </c>
      <c r="J24" s="251">
        <v>176.6</v>
      </c>
      <c r="K24" s="286"/>
      <c r="L24" s="36"/>
    </row>
    <row r="25" spans="1:12" ht="15">
      <c r="A25" s="283"/>
      <c r="B25" s="268"/>
      <c r="C25" s="251">
        <v>10.700000000000003</v>
      </c>
      <c r="D25" s="251">
        <v>9.4</v>
      </c>
      <c r="E25" s="251">
        <v>14.9</v>
      </c>
      <c r="F25" s="288" t="s">
        <v>417</v>
      </c>
      <c r="G25" s="251">
        <v>34.200000000000003</v>
      </c>
      <c r="H25" s="235">
        <v>23.5</v>
      </c>
      <c r="I25" s="251">
        <v>29.9</v>
      </c>
      <c r="J25" s="251">
        <v>39</v>
      </c>
      <c r="K25" s="286"/>
      <c r="L25" s="36"/>
    </row>
    <row r="26" spans="1:12" ht="15">
      <c r="A26" s="283"/>
      <c r="B26" s="268"/>
      <c r="C26" s="251"/>
      <c r="D26" s="251"/>
      <c r="E26" s="251"/>
      <c r="F26" s="282" t="s">
        <v>425</v>
      </c>
      <c r="G26" s="251"/>
      <c r="H26" s="235"/>
      <c r="I26" s="251"/>
      <c r="J26" s="251"/>
      <c r="K26" s="286"/>
      <c r="L26" s="36"/>
    </row>
    <row r="27" spans="1:12" ht="15">
      <c r="A27" s="283"/>
      <c r="B27" s="268"/>
      <c r="C27" s="251">
        <v>55.200000000000017</v>
      </c>
      <c r="D27" s="251">
        <v>49.8</v>
      </c>
      <c r="E27" s="251">
        <v>80.699999999999989</v>
      </c>
      <c r="F27" s="282" t="s">
        <v>398</v>
      </c>
      <c r="G27" s="251">
        <v>196.4</v>
      </c>
      <c r="H27" s="235">
        <v>141.19999999999999</v>
      </c>
      <c r="I27" s="251">
        <v>186.1</v>
      </c>
      <c r="J27" s="251">
        <v>239.7</v>
      </c>
      <c r="K27" s="286"/>
      <c r="L27" s="36"/>
    </row>
    <row r="28" spans="1:12" ht="15">
      <c r="A28" s="283"/>
      <c r="B28" s="268"/>
      <c r="C28" s="251">
        <v>25.799999999999997</v>
      </c>
      <c r="D28" s="251">
        <v>25.7</v>
      </c>
      <c r="E28" s="251">
        <v>30.8</v>
      </c>
      <c r="F28" s="282" t="s">
        <v>7</v>
      </c>
      <c r="G28" s="251">
        <v>84.8</v>
      </c>
      <c r="H28" s="235">
        <v>59</v>
      </c>
      <c r="I28" s="251">
        <v>78.8</v>
      </c>
      <c r="J28" s="251">
        <v>104.3</v>
      </c>
      <c r="K28" s="286"/>
      <c r="L28" s="36"/>
    </row>
    <row r="29" spans="1:12" ht="15">
      <c r="A29" s="283"/>
      <c r="B29" s="268"/>
      <c r="C29" s="251">
        <v>63.799999999999983</v>
      </c>
      <c r="D29" s="251">
        <v>64.3</v>
      </c>
      <c r="E29" s="251">
        <v>81.500000000000014</v>
      </c>
      <c r="F29" s="282" t="s">
        <v>8</v>
      </c>
      <c r="G29" s="260">
        <v>221.1</v>
      </c>
      <c r="H29" s="235">
        <v>157.30000000000001</v>
      </c>
      <c r="I29" s="260">
        <v>197.8</v>
      </c>
      <c r="J29" s="251">
        <v>281.8</v>
      </c>
      <c r="K29" s="286"/>
      <c r="L29" s="36"/>
    </row>
    <row r="30" spans="1:12" ht="15">
      <c r="A30" s="283"/>
      <c r="B30" s="268"/>
      <c r="C30" s="254">
        <v>559.5</v>
      </c>
      <c r="D30" s="254">
        <v>577.79999999999995</v>
      </c>
      <c r="E30" s="254">
        <v>668.4</v>
      </c>
      <c r="F30" s="280" t="s">
        <v>408</v>
      </c>
      <c r="G30" s="254">
        <v>1837</v>
      </c>
      <c r="H30" s="242">
        <v>1277.5</v>
      </c>
      <c r="I30" s="254">
        <v>1854.2</v>
      </c>
      <c r="J30" s="254">
        <v>2442.2000000000003</v>
      </c>
      <c r="K30" s="286"/>
      <c r="L30" s="36"/>
    </row>
    <row r="31" spans="1:12" ht="15">
      <c r="A31" s="283"/>
      <c r="B31" s="268"/>
      <c r="C31" s="255">
        <v>202.20000000000005</v>
      </c>
      <c r="D31" s="255">
        <v>206.50000000000011</v>
      </c>
      <c r="E31" s="255">
        <v>302.39999999999986</v>
      </c>
      <c r="F31" s="289" t="s">
        <v>426</v>
      </c>
      <c r="G31" s="255">
        <v>751.20000000000027</v>
      </c>
      <c r="H31" s="240">
        <v>548.99999999999977</v>
      </c>
      <c r="I31" s="255">
        <v>652.89999999999986</v>
      </c>
      <c r="J31" s="255">
        <v>855.79999999999927</v>
      </c>
      <c r="K31" s="286"/>
      <c r="L31" s="36"/>
    </row>
    <row r="32" spans="1:12" ht="15">
      <c r="A32" s="283"/>
      <c r="B32" s="268"/>
      <c r="C32" s="251">
        <v>15.5</v>
      </c>
      <c r="D32" s="251">
        <v>14.9</v>
      </c>
      <c r="E32" s="251">
        <v>17.3</v>
      </c>
      <c r="F32" s="290" t="s">
        <v>416</v>
      </c>
      <c r="G32" s="251">
        <v>51.5</v>
      </c>
      <c r="H32" s="235">
        <v>36</v>
      </c>
      <c r="I32" s="251">
        <v>73.599999999999994</v>
      </c>
      <c r="J32" s="251">
        <v>95.9</v>
      </c>
      <c r="K32" s="286"/>
      <c r="L32" s="36"/>
    </row>
    <row r="33" spans="1:12" ht="15">
      <c r="A33" s="283"/>
      <c r="B33" s="268"/>
      <c r="C33" s="256">
        <v>217.70000000000005</v>
      </c>
      <c r="D33" s="256">
        <v>221.40000000000012</v>
      </c>
      <c r="E33" s="256">
        <v>319.69999999999987</v>
      </c>
      <c r="F33" s="282" t="s">
        <v>427</v>
      </c>
      <c r="G33" s="256">
        <v>802.70000000000027</v>
      </c>
      <c r="H33" s="241">
        <v>584.99999999999977</v>
      </c>
      <c r="I33" s="256">
        <v>726.49999999999989</v>
      </c>
      <c r="J33" s="256">
        <v>951.69999999999925</v>
      </c>
      <c r="K33" s="286"/>
      <c r="L33" s="36"/>
    </row>
    <row r="34" spans="1:12" ht="15">
      <c r="A34" s="283"/>
      <c r="B34" s="268"/>
      <c r="C34" s="252">
        <v>9.9999999999999867E-2</v>
      </c>
      <c r="D34" s="252">
        <v>0.1</v>
      </c>
      <c r="E34" s="252">
        <v>0.70000000000000007</v>
      </c>
      <c r="F34" s="282" t="s">
        <v>401</v>
      </c>
      <c r="G34" s="252">
        <v>1.2</v>
      </c>
      <c r="H34" s="235">
        <v>1.1000000000000001</v>
      </c>
      <c r="I34" s="252">
        <v>0.6</v>
      </c>
      <c r="J34" s="252">
        <v>0.8</v>
      </c>
      <c r="K34" s="286"/>
      <c r="L34" s="36"/>
    </row>
    <row r="35" spans="1:12" ht="15">
      <c r="A35" s="283"/>
      <c r="B35" s="268"/>
      <c r="C35" s="254">
        <v>217.60000000000005</v>
      </c>
      <c r="D35" s="254">
        <v>221.30000000000013</v>
      </c>
      <c r="E35" s="254">
        <v>318.99999999999989</v>
      </c>
      <c r="F35" s="280" t="s">
        <v>396</v>
      </c>
      <c r="G35" s="254">
        <v>801.50000000000023</v>
      </c>
      <c r="H35" s="242">
        <v>583.89999999999975</v>
      </c>
      <c r="I35" s="254">
        <v>725.89999999999986</v>
      </c>
      <c r="J35" s="254">
        <v>950.8999999999993</v>
      </c>
      <c r="K35" s="286"/>
      <c r="L35" s="36"/>
    </row>
    <row r="36" spans="1:12" ht="12.75" hidden="1" customHeight="1">
      <c r="A36" s="283"/>
      <c r="B36" s="268"/>
      <c r="C36" s="253"/>
      <c r="D36" s="253"/>
      <c r="E36" s="253"/>
      <c r="F36" s="288"/>
      <c r="G36" s="253"/>
      <c r="H36" s="237"/>
      <c r="I36" s="253"/>
      <c r="J36" s="253"/>
      <c r="K36" s="291"/>
      <c r="L36" s="36"/>
    </row>
    <row r="37" spans="1:12" ht="12.75" hidden="1" customHeight="1">
      <c r="A37" s="283"/>
      <c r="B37" s="268"/>
      <c r="C37" s="257">
        <v>0</v>
      </c>
      <c r="D37" s="259">
        <v>0</v>
      </c>
      <c r="E37" s="292">
        <v>0</v>
      </c>
      <c r="F37" s="288" t="s">
        <v>410</v>
      </c>
      <c r="G37" s="257">
        <v>0</v>
      </c>
      <c r="H37" s="243">
        <v>0</v>
      </c>
      <c r="I37" s="257">
        <v>0</v>
      </c>
      <c r="J37" s="259">
        <v>0</v>
      </c>
      <c r="K37" s="291"/>
      <c r="L37" s="36"/>
    </row>
    <row r="38" spans="1:12" ht="15.75" hidden="1" customHeight="1">
      <c r="A38" s="283"/>
      <c r="B38" s="268"/>
      <c r="C38" s="251">
        <v>217.60000000000005</v>
      </c>
      <c r="D38" s="251">
        <v>221.30000000000013</v>
      </c>
      <c r="E38" s="251">
        <v>318.99999999999989</v>
      </c>
      <c r="F38" s="288" t="s">
        <v>396</v>
      </c>
      <c r="G38" s="251">
        <v>801.50000000000023</v>
      </c>
      <c r="H38" s="235">
        <v>583.89999999999975</v>
      </c>
      <c r="I38" s="251">
        <v>725.89999999999986</v>
      </c>
      <c r="J38" s="251">
        <v>950.8999999999993</v>
      </c>
      <c r="K38" s="291"/>
      <c r="L38" s="36"/>
    </row>
    <row r="39" spans="1:12" ht="15">
      <c r="A39" s="283"/>
      <c r="B39" s="268"/>
      <c r="C39" s="251">
        <v>77.799999999999983</v>
      </c>
      <c r="D39" s="251">
        <v>78.099999999999994</v>
      </c>
      <c r="E39" s="251">
        <v>112.1</v>
      </c>
      <c r="F39" s="282" t="s">
        <v>429</v>
      </c>
      <c r="G39" s="251">
        <v>282.39999999999998</v>
      </c>
      <c r="H39" s="235">
        <v>204.6</v>
      </c>
      <c r="I39" s="251">
        <v>251.5</v>
      </c>
      <c r="J39" s="251">
        <v>335.7</v>
      </c>
      <c r="K39" s="291"/>
      <c r="L39" s="36"/>
    </row>
    <row r="40" spans="1:12" ht="15.5" hidden="1" customHeight="1">
      <c r="A40" s="283"/>
      <c r="B40" s="268"/>
      <c r="C40" s="258">
        <v>0</v>
      </c>
      <c r="D40" s="258">
        <v>0</v>
      </c>
      <c r="E40" s="258">
        <v>0</v>
      </c>
      <c r="F40" s="290" t="s">
        <v>399</v>
      </c>
      <c r="G40" s="258">
        <v>0</v>
      </c>
      <c r="H40" s="238">
        <v>0</v>
      </c>
      <c r="I40" s="258">
        <v>0</v>
      </c>
      <c r="J40" s="258">
        <v>0</v>
      </c>
      <c r="K40" s="286"/>
      <c r="L40" s="36"/>
    </row>
    <row r="41" spans="1:12" ht="15.75" customHeight="1">
      <c r="A41" s="283"/>
      <c r="B41" s="268"/>
      <c r="C41" s="254">
        <v>139.80000000000007</v>
      </c>
      <c r="D41" s="254">
        <v>143.20000000000013</v>
      </c>
      <c r="E41" s="254">
        <v>206.89999999999989</v>
      </c>
      <c r="F41" s="280" t="s">
        <v>403</v>
      </c>
      <c r="G41" s="254">
        <v>519.10000000000025</v>
      </c>
      <c r="H41" s="242">
        <v>379.29999999999973</v>
      </c>
      <c r="I41" s="254">
        <v>474.39999999999986</v>
      </c>
      <c r="J41" s="254">
        <v>615.19999999999936</v>
      </c>
      <c r="K41" s="286"/>
      <c r="L41" s="36"/>
    </row>
    <row r="42" spans="1:12" ht="16.5" customHeight="1">
      <c r="A42" s="283"/>
      <c r="B42" s="284"/>
      <c r="C42" s="253"/>
      <c r="D42" s="253"/>
      <c r="E42" s="253"/>
      <c r="F42" s="282"/>
      <c r="G42" s="253"/>
      <c r="H42" s="237"/>
      <c r="I42" s="253"/>
      <c r="J42" s="253"/>
      <c r="K42" s="286"/>
      <c r="L42" s="36"/>
    </row>
    <row r="43" spans="1:12" ht="15.75" customHeight="1">
      <c r="A43" s="283"/>
      <c r="B43" s="268"/>
      <c r="C43" s="251">
        <v>247.3</v>
      </c>
      <c r="D43" s="251">
        <v>247.3</v>
      </c>
      <c r="E43" s="251">
        <v>247.3</v>
      </c>
      <c r="F43" s="288" t="s">
        <v>412</v>
      </c>
      <c r="G43" s="251">
        <v>247.3</v>
      </c>
      <c r="H43" s="235">
        <v>247.3</v>
      </c>
      <c r="I43" s="251">
        <v>247.3</v>
      </c>
      <c r="J43" s="251">
        <v>247.3</v>
      </c>
      <c r="K43" s="286"/>
      <c r="L43" s="36"/>
    </row>
    <row r="44" spans="1:12" ht="15">
      <c r="A44" s="283"/>
      <c r="B44" s="268"/>
      <c r="C44" s="235"/>
      <c r="D44" s="235"/>
      <c r="E44" s="251"/>
      <c r="F44" s="288" t="s">
        <v>414</v>
      </c>
      <c r="G44" s="251"/>
      <c r="H44" s="235"/>
      <c r="I44" s="251"/>
      <c r="J44" s="251"/>
      <c r="K44" s="286"/>
      <c r="L44" s="36"/>
    </row>
    <row r="45" spans="1:12" ht="15">
      <c r="A45" s="283"/>
      <c r="B45" s="268"/>
      <c r="C45" s="235"/>
      <c r="D45" s="235"/>
      <c r="E45" s="251"/>
      <c r="F45" s="282"/>
      <c r="G45" s="251"/>
      <c r="H45" s="235"/>
      <c r="I45" s="251"/>
      <c r="J45" s="251"/>
      <c r="K45" s="286"/>
      <c r="L45" s="36"/>
    </row>
    <row r="46" spans="1:12" ht="15">
      <c r="A46" s="283"/>
      <c r="B46" s="268"/>
      <c r="C46" s="235"/>
      <c r="D46" s="235"/>
      <c r="E46" s="251"/>
      <c r="F46" s="282" t="s">
        <v>13</v>
      </c>
      <c r="G46" s="251"/>
      <c r="H46" s="235"/>
      <c r="I46" s="251"/>
      <c r="J46" s="251">
        <v>328.29999999999995</v>
      </c>
      <c r="K46" s="286"/>
      <c r="L46" s="36"/>
    </row>
    <row r="47" spans="1:12" ht="15">
      <c r="A47" s="283"/>
      <c r="B47" s="268"/>
      <c r="C47" s="235"/>
      <c r="D47" s="235"/>
      <c r="E47" s="251"/>
      <c r="F47" s="282"/>
      <c r="G47" s="251"/>
      <c r="H47" s="235"/>
      <c r="I47" s="251"/>
      <c r="J47" s="251"/>
      <c r="K47" s="286"/>
      <c r="L47" s="36"/>
    </row>
    <row r="48" spans="1:12" ht="15">
      <c r="A48" s="283"/>
      <c r="B48" s="268"/>
      <c r="C48" s="235"/>
      <c r="D48" s="235"/>
      <c r="E48" s="251"/>
      <c r="F48" s="293" t="s">
        <v>411</v>
      </c>
      <c r="G48" s="251"/>
      <c r="H48" s="235"/>
      <c r="I48" s="251"/>
      <c r="J48" s="251"/>
      <c r="K48" s="286"/>
      <c r="L48" s="36"/>
    </row>
    <row r="49" spans="1:12" ht="15">
      <c r="A49" s="283"/>
      <c r="B49" s="268"/>
      <c r="C49" s="258">
        <v>2.826526486049334</v>
      </c>
      <c r="D49" s="258">
        <v>2.8952689041649844</v>
      </c>
      <c r="E49" s="258">
        <v>4.1831783259199327</v>
      </c>
      <c r="F49" s="282" t="s">
        <v>404</v>
      </c>
      <c r="G49" s="258">
        <v>10.495349777598065</v>
      </c>
      <c r="H49" s="238">
        <v>7.6688232915487209</v>
      </c>
      <c r="I49" s="258">
        <v>9.5915891629599646</v>
      </c>
      <c r="J49" s="258">
        <v>12.438334007278595</v>
      </c>
      <c r="K49" s="286"/>
      <c r="L49" s="36"/>
    </row>
    <row r="50" spans="1:12">
      <c r="A50" s="283"/>
      <c r="B50" s="268"/>
      <c r="C50" s="235"/>
      <c r="D50" s="235"/>
      <c r="E50" s="235"/>
      <c r="F50" s="288" t="s">
        <v>413</v>
      </c>
      <c r="G50" s="294"/>
      <c r="H50" s="294"/>
      <c r="I50" s="294"/>
      <c r="J50" s="235"/>
      <c r="K50" s="286"/>
      <c r="L50" s="36"/>
    </row>
    <row r="51" spans="1:12">
      <c r="A51" s="283"/>
      <c r="B51" s="268"/>
      <c r="C51" s="246"/>
      <c r="D51" s="295"/>
      <c r="E51" s="246"/>
      <c r="F51" s="296"/>
      <c r="G51" s="295"/>
      <c r="H51" s="295"/>
      <c r="I51" s="297"/>
      <c r="J51" s="246"/>
      <c r="K51" s="286"/>
      <c r="L51" s="36"/>
    </row>
    <row r="52" spans="1:12" ht="15.75" customHeight="1">
      <c r="A52" s="283"/>
      <c r="B52" s="268"/>
      <c r="C52" s="298" t="s">
        <v>415</v>
      </c>
      <c r="D52" s="239"/>
      <c r="E52" s="247"/>
      <c r="F52" s="299"/>
      <c r="G52" s="239"/>
      <c r="H52" s="239"/>
      <c r="I52" s="239"/>
      <c r="J52" s="247"/>
      <c r="K52" s="286"/>
    </row>
    <row r="53" spans="1:12" ht="15">
      <c r="A53" s="283"/>
      <c r="B53" s="268"/>
      <c r="C53" s="245" t="s">
        <v>434</v>
      </c>
      <c r="D53" s="239"/>
      <c r="E53" s="247"/>
      <c r="F53" s="299"/>
      <c r="G53" s="239"/>
      <c r="H53" s="239"/>
      <c r="I53" s="239"/>
      <c r="J53" s="247"/>
      <c r="K53" s="286"/>
    </row>
    <row r="54" spans="1:12">
      <c r="A54" s="283"/>
      <c r="B54" s="268"/>
      <c r="C54" s="300" t="s">
        <v>285</v>
      </c>
      <c r="K54" s="286"/>
    </row>
    <row r="55" spans="1:12">
      <c r="A55" s="283"/>
      <c r="B55" s="268"/>
      <c r="C55" s="245" t="s">
        <v>432</v>
      </c>
      <c r="K55" s="286"/>
    </row>
    <row r="56" spans="1:12" ht="15">
      <c r="A56" s="283"/>
      <c r="B56" s="268"/>
      <c r="J56" s="301" t="s">
        <v>34</v>
      </c>
      <c r="K56" s="286"/>
    </row>
    <row r="57" spans="1:12" ht="15">
      <c r="A57" s="283"/>
      <c r="B57" s="268"/>
      <c r="J57" s="303"/>
      <c r="K57" s="286"/>
    </row>
    <row r="58" spans="1:12" ht="15">
      <c r="A58" s="283"/>
      <c r="B58" s="268"/>
      <c r="C58" s="245"/>
      <c r="J58" s="303"/>
      <c r="K58" s="286"/>
    </row>
    <row r="59" spans="1:12" ht="15">
      <c r="A59" s="283"/>
      <c r="B59" s="268"/>
      <c r="J59" s="303"/>
      <c r="K59" s="286"/>
    </row>
    <row r="60" spans="1:12" ht="15">
      <c r="A60" s="283"/>
      <c r="B60" s="268"/>
      <c r="C60" s="302" t="s">
        <v>433</v>
      </c>
      <c r="J60" s="303" t="s">
        <v>418</v>
      </c>
      <c r="K60" s="286"/>
    </row>
    <row r="61" spans="1:12">
      <c r="A61" s="283"/>
      <c r="B61" s="268"/>
      <c r="C61" s="5" t="s">
        <v>409</v>
      </c>
      <c r="J61" s="304" t="s">
        <v>36</v>
      </c>
      <c r="K61" s="286"/>
    </row>
    <row r="62" spans="1:12" ht="13" thickBot="1">
      <c r="B62" s="305"/>
      <c r="C62" s="306"/>
      <c r="D62" s="306"/>
      <c r="E62" s="306"/>
      <c r="F62" s="306"/>
      <c r="G62" s="306"/>
      <c r="H62" s="306"/>
      <c r="I62" s="306"/>
      <c r="J62" s="306"/>
      <c r="K62" s="307"/>
    </row>
  </sheetData>
  <mergeCells count="5">
    <mergeCell ref="C1:J1"/>
    <mergeCell ref="C2:J2"/>
    <mergeCell ref="C5:J5"/>
    <mergeCell ref="C3:J3"/>
    <mergeCell ref="C4:J4"/>
  </mergeCells>
  <phoneticPr fontId="0" type="noConversion"/>
  <printOptions horizontalCentered="1" verticalCentered="1"/>
  <pageMargins left="0.2" right="0.2" top="0.17" bottom="0.17" header="0.17" footer="0.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workbookViewId="0"/>
  </sheetViews>
  <sheetFormatPr baseColWidth="10" defaultColWidth="8.83203125" defaultRowHeight="12" x14ac:dyDescent="0"/>
  <cols>
    <col min="1" max="1" width="5.5" style="3" bestFit="1" customWidth="1"/>
    <col min="2" max="2" width="24.1640625" style="3" bestFit="1" customWidth="1"/>
    <col min="3" max="3" width="8.83203125" style="3"/>
    <col min="4" max="4" width="13.5" style="3" customWidth="1"/>
    <col min="5" max="5" width="12.33203125" style="3" customWidth="1"/>
    <col min="6" max="6" width="12" style="3" customWidth="1"/>
    <col min="7" max="16384" width="8.83203125" style="3"/>
  </cols>
  <sheetData>
    <row r="1" spans="2:7">
      <c r="D1" s="9" t="s">
        <v>41</v>
      </c>
      <c r="E1" s="9" t="s">
        <v>42</v>
      </c>
      <c r="F1" s="9" t="s">
        <v>43</v>
      </c>
    </row>
    <row r="2" spans="2:7">
      <c r="C2" s="7"/>
      <c r="D2" s="3" t="s">
        <v>49</v>
      </c>
      <c r="E2" s="3" t="s">
        <v>49</v>
      </c>
      <c r="F2" s="3" t="s">
        <v>49</v>
      </c>
    </row>
    <row r="3" spans="2:7">
      <c r="C3" s="7"/>
      <c r="D3" s="3" t="s">
        <v>47</v>
      </c>
      <c r="E3" s="3" t="s">
        <v>48</v>
      </c>
      <c r="F3" s="3" t="s">
        <v>50</v>
      </c>
    </row>
    <row r="4" spans="2:7">
      <c r="C4" s="7"/>
    </row>
    <row r="5" spans="2:7">
      <c r="B5" s="10" t="s">
        <v>38</v>
      </c>
      <c r="C5" s="7"/>
      <c r="D5" s="3">
        <v>99467</v>
      </c>
      <c r="E5" s="3">
        <v>94473</v>
      </c>
      <c r="F5" s="3">
        <f>+D5-E5</f>
        <v>4994</v>
      </c>
      <c r="G5" s="3" t="s">
        <v>51</v>
      </c>
    </row>
    <row r="6" spans="2:7">
      <c r="B6" s="10" t="s">
        <v>37</v>
      </c>
      <c r="D6" s="3">
        <v>17511</v>
      </c>
      <c r="E6" s="3">
        <v>16646</v>
      </c>
      <c r="F6" s="3">
        <f t="shared" ref="F6:F26" si="0">+D6-E6</f>
        <v>865</v>
      </c>
    </row>
    <row r="7" spans="2:7">
      <c r="B7" s="10" t="s">
        <v>39</v>
      </c>
      <c r="D7" s="3">
        <f>+D5-D6</f>
        <v>81956</v>
      </c>
      <c r="E7" s="3">
        <f>+E5-E6</f>
        <v>77827</v>
      </c>
      <c r="F7" s="3">
        <f t="shared" si="0"/>
        <v>4129</v>
      </c>
    </row>
    <row r="8" spans="2:7">
      <c r="B8" s="10" t="s">
        <v>0</v>
      </c>
      <c r="D8" s="3">
        <v>759</v>
      </c>
      <c r="E8" s="3">
        <v>755</v>
      </c>
      <c r="F8" s="3">
        <f t="shared" si="0"/>
        <v>4</v>
      </c>
      <c r="G8" s="3" t="s">
        <v>51</v>
      </c>
    </row>
    <row r="9" spans="2:7">
      <c r="B9" s="10" t="s">
        <v>1</v>
      </c>
      <c r="F9" s="3">
        <f t="shared" si="0"/>
        <v>0</v>
      </c>
    </row>
    <row r="10" spans="2:7">
      <c r="B10" s="10" t="s">
        <v>26</v>
      </c>
      <c r="C10" s="4"/>
      <c r="D10" s="3">
        <v>460</v>
      </c>
      <c r="E10" s="3">
        <v>1284</v>
      </c>
      <c r="F10" s="3">
        <f t="shared" si="0"/>
        <v>-824</v>
      </c>
    </row>
    <row r="11" spans="2:7">
      <c r="B11" s="10" t="s">
        <v>2</v>
      </c>
      <c r="C11" s="4"/>
      <c r="D11" s="3">
        <v>48513</v>
      </c>
      <c r="E11" s="3">
        <v>44987</v>
      </c>
      <c r="F11" s="3">
        <f t="shared" si="0"/>
        <v>3526</v>
      </c>
    </row>
    <row r="12" spans="2:7">
      <c r="B12" s="10" t="s">
        <v>3</v>
      </c>
      <c r="C12" s="4"/>
      <c r="D12" s="3">
        <v>4005</v>
      </c>
      <c r="E12" s="3">
        <v>3760</v>
      </c>
      <c r="F12" s="3">
        <f t="shared" si="0"/>
        <v>245</v>
      </c>
    </row>
    <row r="13" spans="2:7">
      <c r="B13" s="10" t="s">
        <v>4</v>
      </c>
      <c r="D13" s="3">
        <v>719</v>
      </c>
      <c r="E13" s="3">
        <v>719</v>
      </c>
      <c r="F13" s="3">
        <f t="shared" si="0"/>
        <v>0</v>
      </c>
    </row>
    <row r="14" spans="2:7">
      <c r="B14" s="10" t="s">
        <v>5</v>
      </c>
      <c r="F14" s="3">
        <f t="shared" si="0"/>
        <v>0</v>
      </c>
    </row>
    <row r="15" spans="2:7">
      <c r="B15" s="10" t="s">
        <v>6</v>
      </c>
      <c r="D15" s="3">
        <v>3462</v>
      </c>
      <c r="E15" s="3">
        <v>2887</v>
      </c>
      <c r="F15" s="3">
        <f t="shared" si="0"/>
        <v>575</v>
      </c>
    </row>
    <row r="16" spans="2:7">
      <c r="B16" s="10" t="s">
        <v>7</v>
      </c>
      <c r="D16" s="3">
        <v>3431</v>
      </c>
      <c r="E16" s="3">
        <v>3115</v>
      </c>
      <c r="F16" s="3">
        <f t="shared" si="0"/>
        <v>316</v>
      </c>
    </row>
    <row r="17" spans="2:7">
      <c r="B17" s="10" t="s">
        <v>8</v>
      </c>
      <c r="D17" s="3">
        <v>9510</v>
      </c>
      <c r="E17" s="3">
        <v>8582</v>
      </c>
      <c r="F17" s="3">
        <f t="shared" si="0"/>
        <v>928</v>
      </c>
    </row>
    <row r="18" spans="2:7">
      <c r="B18" s="10"/>
      <c r="F18" s="3">
        <f t="shared" si="0"/>
        <v>0</v>
      </c>
    </row>
    <row r="19" spans="2:7">
      <c r="B19" s="10" t="s">
        <v>1</v>
      </c>
      <c r="D19" s="3">
        <f>SUM(D10:D17)</f>
        <v>70100</v>
      </c>
      <c r="E19" s="3">
        <f>SUM(E10:E17)</f>
        <v>65334</v>
      </c>
      <c r="F19" s="3">
        <f t="shared" si="0"/>
        <v>4766</v>
      </c>
    </row>
    <row r="20" spans="2:7">
      <c r="B20" s="10"/>
      <c r="F20" s="3">
        <f t="shared" si="0"/>
        <v>0</v>
      </c>
    </row>
    <row r="21" spans="2:7">
      <c r="B21" s="10" t="s">
        <v>9</v>
      </c>
      <c r="D21" s="3">
        <v>544</v>
      </c>
      <c r="E21" s="3">
        <v>411</v>
      </c>
      <c r="F21" s="3">
        <f t="shared" si="0"/>
        <v>133</v>
      </c>
      <c r="G21" s="3" t="s">
        <v>51</v>
      </c>
    </row>
    <row r="22" spans="2:7">
      <c r="B22" s="10" t="s">
        <v>10</v>
      </c>
      <c r="D22" s="3">
        <v>972</v>
      </c>
      <c r="E22" s="3">
        <v>937</v>
      </c>
      <c r="F22" s="3">
        <f t="shared" si="0"/>
        <v>35</v>
      </c>
    </row>
    <row r="23" spans="2:7">
      <c r="B23" s="10" t="s">
        <v>27</v>
      </c>
      <c r="D23" s="3">
        <f>+D7+D8-D19-D21-D22</f>
        <v>11099</v>
      </c>
      <c r="E23" s="3">
        <f>+E7+E8-E19-E21-E22</f>
        <v>11900</v>
      </c>
      <c r="F23" s="3">
        <f t="shared" si="0"/>
        <v>-801</v>
      </c>
    </row>
    <row r="24" spans="2:7">
      <c r="B24" s="10" t="s">
        <v>28</v>
      </c>
      <c r="D24" s="3">
        <v>3143</v>
      </c>
      <c r="E24" s="3">
        <v>3333</v>
      </c>
      <c r="F24" s="3">
        <f t="shared" si="0"/>
        <v>-190</v>
      </c>
    </row>
    <row r="25" spans="2:7">
      <c r="B25" s="10" t="s">
        <v>16</v>
      </c>
      <c r="D25" s="3">
        <v>118</v>
      </c>
      <c r="E25" s="3">
        <v>206</v>
      </c>
      <c r="F25" s="3">
        <f t="shared" si="0"/>
        <v>-88</v>
      </c>
    </row>
    <row r="26" spans="2:7">
      <c r="B26" s="10" t="s">
        <v>11</v>
      </c>
      <c r="D26" s="3">
        <f>+D23-D24-D25</f>
        <v>7838</v>
      </c>
      <c r="E26" s="3">
        <f>+E23-E24-E25</f>
        <v>8361</v>
      </c>
      <c r="F26" s="3">
        <f t="shared" si="0"/>
        <v>-523</v>
      </c>
    </row>
    <row r="27" spans="2:7">
      <c r="B27" s="10"/>
    </row>
    <row r="28" spans="2:7">
      <c r="B28" s="10" t="s">
        <v>44</v>
      </c>
      <c r="F28" s="3">
        <f>+F7-F19-F22</f>
        <v>-672</v>
      </c>
      <c r="G28" s="3" t="s">
        <v>51</v>
      </c>
    </row>
    <row r="29" spans="2:7">
      <c r="B29" s="10" t="s">
        <v>9</v>
      </c>
      <c r="F29" s="3">
        <f>+F21</f>
        <v>133</v>
      </c>
    </row>
    <row r="30" spans="2:7">
      <c r="B30" s="10" t="s">
        <v>45</v>
      </c>
      <c r="F30" s="3">
        <f>+F8</f>
        <v>4</v>
      </c>
    </row>
    <row r="31" spans="2:7">
      <c r="B31" s="10" t="s">
        <v>25</v>
      </c>
      <c r="F31" s="3">
        <f>+F28-F29+F30</f>
        <v>-801</v>
      </c>
    </row>
    <row r="32" spans="2:7">
      <c r="B32" s="10"/>
    </row>
    <row r="33" spans="2:6">
      <c r="B33" s="10"/>
      <c r="E33" s="3" t="s">
        <v>46</v>
      </c>
      <c r="F33" s="3">
        <f>+F23-F31</f>
        <v>0</v>
      </c>
    </row>
    <row r="34" spans="2:6">
      <c r="B34" s="10"/>
    </row>
    <row r="35" spans="2:6">
      <c r="B35" s="10"/>
    </row>
    <row r="36" spans="2:6">
      <c r="B36" s="10"/>
    </row>
    <row r="37" spans="2:6">
      <c r="B37" s="11"/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72"/>
  <sheetViews>
    <sheetView topLeftCell="L30" zoomScale="80" workbookViewId="0">
      <selection activeCell="N56" sqref="N56"/>
    </sheetView>
  </sheetViews>
  <sheetFormatPr baseColWidth="10" defaultColWidth="8.83203125" defaultRowHeight="12" x14ac:dyDescent="0"/>
  <cols>
    <col min="1" max="1" width="4.5" style="50" customWidth="1"/>
    <col min="2" max="2" width="6.1640625" style="50" bestFit="1" customWidth="1"/>
    <col min="3" max="4" width="12.6640625" style="50" customWidth="1"/>
    <col min="5" max="5" width="13.5" style="50" hidden="1" customWidth="1"/>
    <col min="6" max="6" width="40.1640625" style="50" customWidth="1"/>
    <col min="7" max="7" width="15.6640625" style="50" customWidth="1"/>
    <col min="8" max="8" width="14.6640625" style="50" customWidth="1"/>
    <col min="9" max="9" width="14.6640625" style="50" hidden="1" customWidth="1"/>
    <col min="10" max="10" width="14.5" style="50" customWidth="1"/>
    <col min="11" max="11" width="14.6640625" style="50" customWidth="1"/>
    <col min="12" max="12" width="4.1640625" style="50" customWidth="1"/>
    <col min="13" max="14" width="12.6640625" style="50" customWidth="1"/>
    <col min="15" max="15" width="43.33203125" style="50" customWidth="1"/>
    <col min="16" max="16" width="14.1640625" style="50" customWidth="1"/>
    <col min="17" max="17" width="13.5" style="50" customWidth="1"/>
    <col min="18" max="18" width="13.6640625" style="50" customWidth="1"/>
    <col min="19" max="19" width="5.33203125" style="50" customWidth="1"/>
    <col min="20" max="16384" width="8.83203125" style="50"/>
  </cols>
  <sheetData>
    <row r="1" spans="1:19" ht="25" customHeight="1">
      <c r="B1" s="51"/>
      <c r="C1" s="120"/>
      <c r="D1" s="120"/>
      <c r="E1" s="120"/>
      <c r="F1" s="314" t="s">
        <v>31</v>
      </c>
      <c r="G1" s="314"/>
      <c r="H1" s="314"/>
      <c r="I1" s="314"/>
      <c r="J1" s="314"/>
      <c r="K1" s="315"/>
      <c r="L1" s="315"/>
      <c r="M1" s="315"/>
      <c r="N1" s="315"/>
      <c r="O1" s="315"/>
      <c r="P1" s="315"/>
      <c r="Q1" s="315"/>
      <c r="R1" s="52"/>
      <c r="S1" s="53"/>
    </row>
    <row r="2" spans="1:19" ht="20" customHeight="1">
      <c r="B2" s="54"/>
      <c r="C2" s="99"/>
      <c r="D2" s="99"/>
      <c r="E2" s="99"/>
      <c r="F2" s="312" t="s">
        <v>40</v>
      </c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48"/>
      <c r="S2" s="49"/>
    </row>
    <row r="3" spans="1:19" s="55" customFormat="1" ht="20" customHeight="1">
      <c r="B3" s="56"/>
      <c r="C3" s="48"/>
      <c r="D3" s="48"/>
      <c r="E3" s="48"/>
      <c r="F3" s="316" t="s">
        <v>322</v>
      </c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48"/>
      <c r="S3" s="58"/>
    </row>
    <row r="4" spans="1:19" s="55" customFormat="1" ht="20" customHeight="1">
      <c r="A4" s="59"/>
      <c r="B4" s="56"/>
      <c r="C4" s="48"/>
      <c r="D4" s="48"/>
      <c r="E4" s="48"/>
      <c r="F4" s="60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48"/>
      <c r="S4" s="58"/>
    </row>
    <row r="5" spans="1:19" s="55" customFormat="1" ht="20" customHeight="1">
      <c r="B5" s="56"/>
      <c r="C5" s="48"/>
      <c r="D5" s="48"/>
      <c r="E5" s="48"/>
      <c r="F5" s="57"/>
      <c r="G5" s="57"/>
      <c r="K5" s="57" t="s">
        <v>188</v>
      </c>
      <c r="L5" s="57"/>
      <c r="M5" s="57"/>
      <c r="N5" s="57"/>
      <c r="O5" s="57"/>
      <c r="P5" s="57"/>
      <c r="Q5" s="57" t="s">
        <v>186</v>
      </c>
      <c r="R5" s="61"/>
      <c r="S5" s="58"/>
    </row>
    <row r="6" spans="1:19" ht="33" customHeight="1">
      <c r="B6" s="54"/>
      <c r="C6" s="62"/>
      <c r="D6" s="124"/>
      <c r="E6" s="124"/>
      <c r="F6" s="62"/>
      <c r="G6" s="62"/>
      <c r="H6" s="124"/>
      <c r="I6" s="124"/>
      <c r="J6" s="124"/>
      <c r="K6" s="124" t="s">
        <v>194</v>
      </c>
      <c r="L6" s="132"/>
      <c r="M6" s="317" t="s">
        <v>32</v>
      </c>
      <c r="N6" s="318"/>
      <c r="O6" s="318"/>
      <c r="P6" s="318"/>
      <c r="Q6" s="318"/>
      <c r="R6" s="319"/>
      <c r="S6" s="49"/>
    </row>
    <row r="7" spans="1:19" ht="24" customHeight="1">
      <c r="B7" s="54"/>
      <c r="C7" s="23" t="s">
        <v>85</v>
      </c>
      <c r="D7" s="23" t="s">
        <v>85</v>
      </c>
      <c r="E7" s="23" t="s">
        <v>288</v>
      </c>
      <c r="F7" s="64"/>
      <c r="G7" s="23" t="s">
        <v>306</v>
      </c>
      <c r="H7" s="23" t="s">
        <v>306</v>
      </c>
      <c r="I7" s="23" t="s">
        <v>170</v>
      </c>
      <c r="J7" s="142" t="s">
        <v>307</v>
      </c>
      <c r="K7" s="23" t="s">
        <v>170</v>
      </c>
      <c r="L7" s="63"/>
      <c r="M7" s="23" t="s">
        <v>85</v>
      </c>
      <c r="N7" s="23" t="s">
        <v>85</v>
      </c>
      <c r="O7" s="65"/>
      <c r="P7" s="23" t="s">
        <v>306</v>
      </c>
      <c r="Q7" s="23" t="s">
        <v>306</v>
      </c>
      <c r="R7" s="124" t="s">
        <v>194</v>
      </c>
      <c r="S7" s="49"/>
    </row>
    <row r="8" spans="1:19" ht="21" customHeight="1">
      <c r="B8" s="54"/>
      <c r="C8" s="23" t="s">
        <v>86</v>
      </c>
      <c r="D8" s="23" t="s">
        <v>86</v>
      </c>
      <c r="E8" s="23" t="s">
        <v>289</v>
      </c>
      <c r="F8" s="64"/>
      <c r="G8" s="23" t="s">
        <v>86</v>
      </c>
      <c r="H8" s="23" t="s">
        <v>86</v>
      </c>
      <c r="I8" s="23" t="s">
        <v>171</v>
      </c>
      <c r="J8" s="23" t="s">
        <v>308</v>
      </c>
      <c r="K8" s="23" t="s">
        <v>171</v>
      </c>
      <c r="L8" s="63"/>
      <c r="M8" s="23" t="s">
        <v>86</v>
      </c>
      <c r="N8" s="23" t="s">
        <v>86</v>
      </c>
      <c r="O8" s="65"/>
      <c r="P8" s="23" t="s">
        <v>86</v>
      </c>
      <c r="Q8" s="23" t="s">
        <v>86</v>
      </c>
      <c r="R8" s="23" t="s">
        <v>195</v>
      </c>
      <c r="S8" s="66"/>
    </row>
    <row r="9" spans="1:19" ht="22.5" customHeight="1">
      <c r="B9" s="54"/>
      <c r="C9" s="23" t="s">
        <v>304</v>
      </c>
      <c r="D9" s="23" t="s">
        <v>305</v>
      </c>
      <c r="E9" s="23" t="s">
        <v>161</v>
      </c>
      <c r="F9" s="64"/>
      <c r="G9" s="23" t="s">
        <v>304</v>
      </c>
      <c r="H9" s="23" t="s">
        <v>305</v>
      </c>
      <c r="I9" s="23" t="s">
        <v>169</v>
      </c>
      <c r="J9" s="23" t="s">
        <v>161</v>
      </c>
      <c r="K9" s="23" t="s">
        <v>230</v>
      </c>
      <c r="L9" s="63"/>
      <c r="M9" s="23" t="s">
        <v>304</v>
      </c>
      <c r="N9" s="23" t="s">
        <v>305</v>
      </c>
      <c r="O9" s="65"/>
      <c r="P9" s="23" t="s">
        <v>304</v>
      </c>
      <c r="Q9" s="23" t="s">
        <v>305</v>
      </c>
      <c r="R9" s="23" t="s">
        <v>230</v>
      </c>
      <c r="S9" s="66"/>
    </row>
    <row r="10" spans="1:19" ht="15">
      <c r="B10" s="54"/>
      <c r="C10" s="125"/>
      <c r="D10" s="127"/>
      <c r="E10" s="24" t="s">
        <v>206</v>
      </c>
      <c r="F10" s="67"/>
      <c r="G10" s="68"/>
      <c r="H10" s="68"/>
      <c r="I10" s="68"/>
      <c r="J10" s="24" t="s">
        <v>206</v>
      </c>
      <c r="K10" s="68" t="s">
        <v>189</v>
      </c>
      <c r="L10" s="63"/>
      <c r="M10" s="68"/>
      <c r="N10" s="24"/>
      <c r="O10" s="69"/>
      <c r="P10" s="68"/>
      <c r="Q10" s="68"/>
      <c r="R10" s="68" t="s">
        <v>189</v>
      </c>
      <c r="S10" s="70"/>
    </row>
    <row r="11" spans="1:19" ht="15">
      <c r="B11" s="54"/>
      <c r="C11" s="71"/>
      <c r="D11" s="128"/>
      <c r="E11" s="128"/>
      <c r="F11" s="71"/>
      <c r="G11" s="71"/>
      <c r="H11" s="72"/>
      <c r="I11" s="73"/>
      <c r="J11" s="133"/>
      <c r="K11" s="73"/>
      <c r="L11" s="74"/>
      <c r="M11" s="75"/>
      <c r="N11" s="75"/>
      <c r="O11" s="75"/>
      <c r="P11" s="75"/>
      <c r="Q11" s="76"/>
      <c r="R11" s="76"/>
      <c r="S11" s="77"/>
    </row>
    <row r="12" spans="1:19" ht="15">
      <c r="B12" s="54"/>
      <c r="C12" s="126" t="e">
        <f>+#REF!</f>
        <v>#REF!</v>
      </c>
      <c r="D12" s="126" t="e">
        <f>+#REF!</f>
        <v>#REF!</v>
      </c>
      <c r="E12" s="133" t="e">
        <f>+C12*100/D12-100</f>
        <v>#REF!</v>
      </c>
      <c r="F12" s="129" t="s">
        <v>225</v>
      </c>
      <c r="G12" s="126" t="e">
        <f>+#REF!</f>
        <v>#REF!</v>
      </c>
      <c r="H12" s="126" t="e">
        <f>+#REF!</f>
        <v>#REF!</v>
      </c>
      <c r="I12" s="126">
        <f>1523.21+5.04</f>
        <v>1528.25</v>
      </c>
      <c r="J12" s="133" t="e">
        <f>+G12*100/H12-100</f>
        <v>#REF!</v>
      </c>
      <c r="K12" s="126">
        <v>1668.39</v>
      </c>
      <c r="L12" s="80"/>
      <c r="M12" s="81"/>
      <c r="N12" s="81"/>
      <c r="O12" s="78" t="s">
        <v>17</v>
      </c>
      <c r="P12" s="81"/>
      <c r="Q12" s="82"/>
      <c r="R12" s="82"/>
      <c r="S12" s="83"/>
    </row>
    <row r="13" spans="1:19" ht="15">
      <c r="B13" s="54"/>
      <c r="C13" s="79" t="e">
        <f>+#REF!</f>
        <v>#REF!</v>
      </c>
      <c r="D13" s="79" t="e">
        <f>+#REF!</f>
        <v>#REF!</v>
      </c>
      <c r="E13" s="133"/>
      <c r="F13" s="78" t="s">
        <v>37</v>
      </c>
      <c r="G13" s="79" t="e">
        <f>+#REF!</f>
        <v>#REF!</v>
      </c>
      <c r="H13" s="79" t="e">
        <f>+#REF!</f>
        <v>#REF!</v>
      </c>
      <c r="I13" s="79">
        <v>218.09</v>
      </c>
      <c r="J13" s="133"/>
      <c r="K13" s="79">
        <v>238.01</v>
      </c>
      <c r="L13" s="80"/>
      <c r="M13" s="82"/>
      <c r="N13" s="82"/>
      <c r="O13" s="78" t="s">
        <v>226</v>
      </c>
      <c r="P13" s="82"/>
      <c r="Q13" s="82"/>
      <c r="R13" s="82"/>
      <c r="S13" s="49"/>
    </row>
    <row r="14" spans="1:19" ht="15">
      <c r="B14" s="54"/>
      <c r="C14" s="84" t="e">
        <f>+C12-C13</f>
        <v>#REF!</v>
      </c>
      <c r="D14" s="84" t="e">
        <f>+D12-D13</f>
        <v>#REF!</v>
      </c>
      <c r="E14" s="79"/>
      <c r="F14" s="78" t="s">
        <v>39</v>
      </c>
      <c r="G14" s="84" t="e">
        <f>+G12-G13</f>
        <v>#REF!</v>
      </c>
      <c r="H14" s="84" t="e">
        <f>+H12-H13</f>
        <v>#REF!</v>
      </c>
      <c r="I14" s="84">
        <f>+I12-I13</f>
        <v>1310.1600000000001</v>
      </c>
      <c r="J14" s="133"/>
      <c r="K14" s="84">
        <f>+K12-K13</f>
        <v>1430.38</v>
      </c>
      <c r="L14" s="80"/>
      <c r="M14" s="82"/>
      <c r="N14" s="82"/>
      <c r="O14" s="78"/>
      <c r="P14" s="82"/>
      <c r="Q14" s="82"/>
      <c r="R14" s="82"/>
      <c r="S14" s="49"/>
    </row>
    <row r="15" spans="1:19">
      <c r="B15" s="54"/>
      <c r="C15" s="126"/>
      <c r="D15" s="126"/>
      <c r="E15" s="126"/>
      <c r="F15" s="78" t="s">
        <v>172</v>
      </c>
      <c r="G15" s="126"/>
      <c r="H15" s="126"/>
      <c r="I15" s="126"/>
      <c r="J15" s="126"/>
      <c r="K15" s="126"/>
      <c r="L15" s="85"/>
      <c r="M15" s="79" t="e">
        <f>+#REF!</f>
        <v>#REF!</v>
      </c>
      <c r="N15" s="79" t="e">
        <f>+#REF!</f>
        <v>#REF!</v>
      </c>
      <c r="O15" s="78" t="s">
        <v>18</v>
      </c>
      <c r="P15" s="79" t="e">
        <f>+#REF!</f>
        <v>#REF!</v>
      </c>
      <c r="Q15" s="79" t="e">
        <f>+#REF!</f>
        <v>#REF!</v>
      </c>
      <c r="R15" s="79">
        <v>1205.9000000000001</v>
      </c>
      <c r="S15" s="49"/>
    </row>
    <row r="16" spans="1:19">
      <c r="B16" s="54"/>
      <c r="C16" s="79" t="e">
        <f>+#REF!</f>
        <v>#REF!</v>
      </c>
      <c r="D16" s="79" t="e">
        <f>+#REF!</f>
        <v>#REF!</v>
      </c>
      <c r="E16" s="79"/>
      <c r="F16" s="78" t="s">
        <v>82</v>
      </c>
      <c r="G16" s="79" t="e">
        <f>+#REF!</f>
        <v>#REF!</v>
      </c>
      <c r="H16" s="79" t="e">
        <f>+#REF!</f>
        <v>#REF!</v>
      </c>
      <c r="I16" s="79">
        <v>3.01</v>
      </c>
      <c r="J16" s="79"/>
      <c r="K16" s="79">
        <v>-27.6</v>
      </c>
      <c r="L16" s="85"/>
      <c r="M16" s="79" t="e">
        <f>+#REF!</f>
        <v>#REF!</v>
      </c>
      <c r="N16" s="79" t="e">
        <f>+#REF!</f>
        <v>#REF!</v>
      </c>
      <c r="O16" s="78" t="s">
        <v>29</v>
      </c>
      <c r="P16" s="79" t="e">
        <f>+#REF!</f>
        <v>#REF!</v>
      </c>
      <c r="Q16" s="79" t="e">
        <f>+#REF!</f>
        <v>#REF!</v>
      </c>
      <c r="R16" s="79">
        <v>224.48</v>
      </c>
      <c r="S16" s="86"/>
    </row>
    <row r="17" spans="2:19">
      <c r="B17" s="54"/>
      <c r="C17" s="88" t="e">
        <f>+#REF!</f>
        <v>#REF!</v>
      </c>
      <c r="D17" s="88" t="e">
        <f>+#REF!</f>
        <v>#REF!</v>
      </c>
      <c r="E17" s="79"/>
      <c r="F17" s="78" t="s">
        <v>2</v>
      </c>
      <c r="G17" s="88" t="e">
        <f>+#REF!</f>
        <v>#REF!</v>
      </c>
      <c r="H17" s="88" t="e">
        <f>+#REF!</f>
        <v>#REF!</v>
      </c>
      <c r="I17" s="88">
        <v>774.01</v>
      </c>
      <c r="J17" s="79"/>
      <c r="K17" s="88">
        <v>875.57</v>
      </c>
      <c r="L17" s="85"/>
      <c r="M17" s="84" t="e">
        <f>+M15+M16</f>
        <v>#REF!</v>
      </c>
      <c r="N17" s="84" t="e">
        <f>+N15+N16</f>
        <v>#REF!</v>
      </c>
      <c r="O17" s="78" t="s">
        <v>19</v>
      </c>
      <c r="P17" s="84" t="e">
        <f>+P15+P16</f>
        <v>#REF!</v>
      </c>
      <c r="Q17" s="84" t="e">
        <f>+Q15+Q16</f>
        <v>#REF!</v>
      </c>
      <c r="R17" s="84">
        <f>+R15+R16</f>
        <v>1430.38</v>
      </c>
      <c r="S17" s="86"/>
    </row>
    <row r="18" spans="2:19" ht="13">
      <c r="B18" s="54"/>
      <c r="C18" s="126" t="e">
        <f>+C17+C16</f>
        <v>#REF!</v>
      </c>
      <c r="D18" s="126" t="e">
        <f>+D17+D16</f>
        <v>#REF!</v>
      </c>
      <c r="E18" s="133" t="e">
        <f>+C18*100/D18-100</f>
        <v>#REF!</v>
      </c>
      <c r="F18" s="129" t="s">
        <v>174</v>
      </c>
      <c r="G18" s="126" t="e">
        <f>+G17+G16</f>
        <v>#REF!</v>
      </c>
      <c r="H18" s="126" t="e">
        <f>+H17+H16</f>
        <v>#REF!</v>
      </c>
      <c r="I18" s="126">
        <f>+I17+I16</f>
        <v>777.02</v>
      </c>
      <c r="J18" s="133" t="e">
        <f>+G18*100/H18-100</f>
        <v>#REF!</v>
      </c>
      <c r="K18" s="126">
        <f>+K17+K16</f>
        <v>847.97</v>
      </c>
      <c r="L18" s="85"/>
      <c r="M18" s="82"/>
      <c r="N18" s="82"/>
      <c r="O18" s="78"/>
      <c r="P18" s="82"/>
      <c r="Q18" s="82"/>
      <c r="R18" s="82"/>
      <c r="S18" s="49"/>
    </row>
    <row r="19" spans="2:19" ht="13">
      <c r="B19" s="54"/>
      <c r="C19" s="126" t="e">
        <f>+C14-C18</f>
        <v>#REF!</v>
      </c>
      <c r="D19" s="126" t="e">
        <f>+D14-D18</f>
        <v>#REF!</v>
      </c>
      <c r="E19" s="133" t="e">
        <f>+C19*100/D19-100</f>
        <v>#REF!</v>
      </c>
      <c r="F19" s="129" t="s">
        <v>173</v>
      </c>
      <c r="G19" s="126" t="e">
        <f>+G14-G18</f>
        <v>#REF!</v>
      </c>
      <c r="H19" s="126" t="e">
        <f>+H14-H18</f>
        <v>#REF!</v>
      </c>
      <c r="I19" s="126">
        <f>+I14-I18</f>
        <v>533.1400000000001</v>
      </c>
      <c r="J19" s="133" t="e">
        <f>+G19*100/H19-100</f>
        <v>#REF!</v>
      </c>
      <c r="K19" s="126">
        <f>+K14-K18</f>
        <v>582.41000000000008</v>
      </c>
      <c r="L19" s="85"/>
      <c r="M19" s="87"/>
      <c r="N19" s="87"/>
      <c r="O19" s="78" t="s">
        <v>20</v>
      </c>
      <c r="P19" s="87"/>
      <c r="Q19" s="87"/>
      <c r="R19" s="87"/>
      <c r="S19" s="86"/>
    </row>
    <row r="20" spans="2:19" ht="13">
      <c r="B20" s="54"/>
      <c r="C20" s="126"/>
      <c r="D20" s="126"/>
      <c r="E20" s="126"/>
      <c r="F20" s="78" t="s">
        <v>208</v>
      </c>
      <c r="G20" s="126"/>
      <c r="H20" s="126"/>
      <c r="I20" s="126"/>
      <c r="J20" s="126"/>
      <c r="K20" s="126"/>
      <c r="L20" s="85"/>
      <c r="M20" s="87"/>
      <c r="N20" s="87"/>
      <c r="O20" s="78"/>
      <c r="P20" s="87"/>
      <c r="Q20" s="87"/>
      <c r="R20" s="87"/>
      <c r="S20" s="49"/>
    </row>
    <row r="21" spans="2:19">
      <c r="B21" s="54"/>
      <c r="C21" s="79" t="e">
        <f>+#REF!</f>
        <v>#REF!</v>
      </c>
      <c r="D21" s="79" t="e">
        <f>+#REF!</f>
        <v>#REF!</v>
      </c>
      <c r="E21" s="79"/>
      <c r="F21" s="78" t="s">
        <v>175</v>
      </c>
      <c r="G21" s="79" t="e">
        <f>+#REF!</f>
        <v>#REF!</v>
      </c>
      <c r="H21" s="79" t="e">
        <f>+#REF!</f>
        <v>#REF!</v>
      </c>
      <c r="I21" s="79">
        <f>65.66+0.08</f>
        <v>65.739999999999995</v>
      </c>
      <c r="J21" s="79"/>
      <c r="K21" s="79">
        <v>68.239999999999995</v>
      </c>
      <c r="L21" s="85"/>
      <c r="M21" s="79" t="e">
        <f>+#REF!</f>
        <v>#REF!</v>
      </c>
      <c r="N21" s="79" t="e">
        <f>+#REF!</f>
        <v>#REF!</v>
      </c>
      <c r="O21" s="78" t="s">
        <v>18</v>
      </c>
      <c r="P21" s="79" t="e">
        <f>+#REF!</f>
        <v>#REF!</v>
      </c>
      <c r="Q21" s="79" t="e">
        <f>+#REF!</f>
        <v>#REF!</v>
      </c>
      <c r="R21" s="79">
        <v>170.27</v>
      </c>
      <c r="S21" s="49"/>
    </row>
    <row r="22" spans="2:19" hidden="1">
      <c r="B22" s="54"/>
      <c r="C22" s="79"/>
      <c r="D22" s="79"/>
      <c r="E22" s="79"/>
      <c r="F22" s="78"/>
      <c r="G22" s="79"/>
      <c r="H22" s="79"/>
      <c r="I22" s="79"/>
      <c r="J22" s="79"/>
      <c r="K22" s="79"/>
      <c r="L22" s="85"/>
      <c r="S22" s="49"/>
    </row>
    <row r="23" spans="2:19">
      <c r="B23" s="54"/>
      <c r="C23" s="126"/>
      <c r="D23" s="126"/>
      <c r="E23" s="126"/>
      <c r="F23" s="78" t="s">
        <v>185</v>
      </c>
      <c r="G23" s="126"/>
      <c r="H23" s="126"/>
      <c r="I23" s="126"/>
      <c r="J23" s="126"/>
      <c r="K23" s="126"/>
      <c r="L23" s="85"/>
      <c r="M23" s="79" t="e">
        <f>+#REF!</f>
        <v>#REF!</v>
      </c>
      <c r="N23" s="79" t="e">
        <f>+#REF!</f>
        <v>#REF!</v>
      </c>
      <c r="O23" s="78" t="s">
        <v>29</v>
      </c>
      <c r="P23" s="79" t="e">
        <f>+#REF!</f>
        <v>#REF!</v>
      </c>
      <c r="Q23" s="79" t="e">
        <f>+#REF!</f>
        <v>#REF!</v>
      </c>
      <c r="R23" s="79">
        <v>32.950000000000003</v>
      </c>
      <c r="S23" s="86"/>
    </row>
    <row r="24" spans="2:19">
      <c r="B24" s="54"/>
      <c r="C24" s="79" t="e">
        <f>+#REF!</f>
        <v>#REF!</v>
      </c>
      <c r="D24" s="79" t="e">
        <f>+#REF!</f>
        <v>#REF!</v>
      </c>
      <c r="E24" s="79"/>
      <c r="F24" s="78" t="s">
        <v>247</v>
      </c>
      <c r="G24" s="79" t="e">
        <f>+#REF!</f>
        <v>#REF!</v>
      </c>
      <c r="H24" s="79" t="e">
        <f>+#REF!</f>
        <v>#REF!</v>
      </c>
      <c r="I24" s="79">
        <v>60</v>
      </c>
      <c r="J24" s="79"/>
      <c r="K24" s="79">
        <v>77.55</v>
      </c>
      <c r="L24" s="85"/>
      <c r="M24" s="84" t="e">
        <f>SUM(M21:M23)</f>
        <v>#REF!</v>
      </c>
      <c r="N24" s="84" t="e">
        <f>SUM(N21:N23)</f>
        <v>#REF!</v>
      </c>
      <c r="O24" s="78" t="s">
        <v>21</v>
      </c>
      <c r="P24" s="84" t="e">
        <f>SUM(P21:P23)</f>
        <v>#REF!</v>
      </c>
      <c r="Q24" s="84" t="e">
        <f>SUM(Q21:Q23)</f>
        <v>#REF!</v>
      </c>
      <c r="R24" s="84">
        <f>SUM(R21:R23)</f>
        <v>203.22000000000003</v>
      </c>
      <c r="S24" s="86"/>
    </row>
    <row r="25" spans="2:19" ht="13">
      <c r="B25" s="54"/>
      <c r="C25" s="79" t="e">
        <f>+#REF!</f>
        <v>#REF!</v>
      </c>
      <c r="D25" s="79" t="e">
        <f>+#REF!</f>
        <v>#REF!</v>
      </c>
      <c r="E25" s="79"/>
      <c r="F25" s="78" t="s">
        <v>7</v>
      </c>
      <c r="G25" s="79" t="e">
        <f>+#REF!</f>
        <v>#REF!</v>
      </c>
      <c r="H25" s="79" t="e">
        <f>+#REF!</f>
        <v>#REF!</v>
      </c>
      <c r="I25" s="79">
        <v>49.93</v>
      </c>
      <c r="J25" s="79"/>
      <c r="K25" s="79">
        <v>61.8</v>
      </c>
      <c r="L25" s="85"/>
      <c r="M25" s="87"/>
      <c r="N25" s="87"/>
      <c r="O25" s="78"/>
      <c r="P25" s="87"/>
      <c r="Q25" s="87"/>
      <c r="R25" s="87"/>
      <c r="S25" s="49"/>
    </row>
    <row r="26" spans="2:19" ht="13">
      <c r="B26" s="54"/>
      <c r="C26" s="88" t="e">
        <f>+#REF!</f>
        <v>#REF!</v>
      </c>
      <c r="D26" s="88" t="e">
        <f>+#REF!</f>
        <v>#REF!</v>
      </c>
      <c r="E26" s="79"/>
      <c r="F26" s="78" t="s">
        <v>8</v>
      </c>
      <c r="G26" s="88" t="e">
        <f>+#REF!</f>
        <v>#REF!</v>
      </c>
      <c r="H26" s="88" t="e">
        <f>+#REF!</f>
        <v>#REF!</v>
      </c>
      <c r="I26" s="88">
        <f>144.29+5.04+0.56</f>
        <v>149.88999999999999</v>
      </c>
      <c r="J26" s="79"/>
      <c r="K26" s="88">
        <v>163.13999999999999</v>
      </c>
      <c r="L26" s="85"/>
      <c r="M26" s="87"/>
      <c r="N26" s="87"/>
      <c r="O26" s="78" t="s">
        <v>162</v>
      </c>
      <c r="P26" s="87"/>
      <c r="Q26" s="87"/>
      <c r="R26" s="87"/>
      <c r="S26" s="86"/>
    </row>
    <row r="27" spans="2:19">
      <c r="B27" s="54"/>
      <c r="C27" s="79" t="e">
        <f>+C26+C25+C24+C22+C21</f>
        <v>#REF!</v>
      </c>
      <c r="D27" s="79" t="e">
        <f>+D26+D25+D24+D22+D21</f>
        <v>#REF!</v>
      </c>
      <c r="E27" s="79"/>
      <c r="F27" s="78" t="s">
        <v>209</v>
      </c>
      <c r="G27" s="79" t="e">
        <f>+G26+G25+G24+G22+G21</f>
        <v>#REF!</v>
      </c>
      <c r="H27" s="79" t="e">
        <f>+H26+H25+H24+H22+H21</f>
        <v>#REF!</v>
      </c>
      <c r="I27" s="79">
        <f>+I26+I25+I24+I22+I21</f>
        <v>325.56</v>
      </c>
      <c r="J27" s="79"/>
      <c r="K27" s="79">
        <f>+K26+K25+K24+K22+K21</f>
        <v>370.73</v>
      </c>
      <c r="L27" s="89"/>
      <c r="M27" s="79" t="e">
        <f>+#REF!</f>
        <v>#REF!</v>
      </c>
      <c r="N27" s="79" t="e">
        <f>+#REF!</f>
        <v>#REF!</v>
      </c>
      <c r="O27" s="78" t="s">
        <v>183</v>
      </c>
      <c r="P27" s="79" t="e">
        <f>+#REF!</f>
        <v>#REF!</v>
      </c>
      <c r="Q27" s="79" t="e">
        <f>+#REF!</f>
        <v>#REF!</v>
      </c>
      <c r="R27" s="79">
        <v>-9.6</v>
      </c>
      <c r="S27" s="49"/>
    </row>
    <row r="28" spans="2:19">
      <c r="B28" s="54"/>
      <c r="C28" s="126" t="e">
        <f>+C19-C27</f>
        <v>#REF!</v>
      </c>
      <c r="D28" s="126" t="e">
        <f>+D19-D27</f>
        <v>#REF!</v>
      </c>
      <c r="E28" s="133" t="e">
        <f>+C28*100/D28-100</f>
        <v>#REF!</v>
      </c>
      <c r="F28" s="129" t="s">
        <v>178</v>
      </c>
      <c r="G28" s="126" t="e">
        <f>+G19-G27</f>
        <v>#REF!</v>
      </c>
      <c r="H28" s="126" t="e">
        <f>+H19-H27</f>
        <v>#REF!</v>
      </c>
      <c r="I28" s="126">
        <f>+I19-I27</f>
        <v>207.5800000000001</v>
      </c>
      <c r="J28" s="133"/>
      <c r="K28" s="126">
        <f>+K19-K27</f>
        <v>211.68000000000006</v>
      </c>
      <c r="L28" s="89"/>
      <c r="M28" s="79" t="e">
        <f>+#REF!</f>
        <v>#REF!</v>
      </c>
      <c r="N28" s="79" t="e">
        <f>+#REF!</f>
        <v>#REF!</v>
      </c>
      <c r="O28" s="78" t="s">
        <v>184</v>
      </c>
      <c r="P28" s="79" t="e">
        <f>+#REF!</f>
        <v>#REF!</v>
      </c>
      <c r="Q28" s="79" t="e">
        <f>+#REF!</f>
        <v>#REF!</v>
      </c>
      <c r="R28" s="79">
        <v>3.01</v>
      </c>
      <c r="S28" s="49"/>
    </row>
    <row r="29" spans="2:19">
      <c r="B29" s="54"/>
      <c r="C29" s="79" t="e">
        <f>+#REF!</f>
        <v>#REF!</v>
      </c>
      <c r="D29" s="79" t="e">
        <f>+#REF!</f>
        <v>#REF!</v>
      </c>
      <c r="E29" s="79"/>
      <c r="F29" s="78" t="s">
        <v>9</v>
      </c>
      <c r="G29" s="79" t="e">
        <f>+#REF!</f>
        <v>#REF!</v>
      </c>
      <c r="H29" s="79" t="e">
        <f>+#REF!</f>
        <v>#REF!</v>
      </c>
      <c r="I29" s="79">
        <v>2.87</v>
      </c>
      <c r="J29" s="79"/>
      <c r="K29" s="79">
        <v>3.01</v>
      </c>
      <c r="L29" s="85"/>
      <c r="M29" s="88" t="e">
        <f>+#REF!+#REF!</f>
        <v>#REF!</v>
      </c>
      <c r="N29" s="88" t="e">
        <f>+#REF!+#REF!</f>
        <v>#REF!</v>
      </c>
      <c r="O29" s="143" t="s">
        <v>303</v>
      </c>
      <c r="P29" s="88" t="e">
        <f>+#REF!+#REF!</f>
        <v>#REF!</v>
      </c>
      <c r="Q29" s="88" t="e">
        <f>+#REF!+#REF!</f>
        <v>#REF!</v>
      </c>
      <c r="R29" s="88">
        <v>-0.82</v>
      </c>
      <c r="S29" s="49"/>
    </row>
    <row r="30" spans="2:19">
      <c r="B30" s="54"/>
      <c r="C30" s="79" t="e">
        <f>+#REF!</f>
        <v>#REF!</v>
      </c>
      <c r="D30" s="79" t="e">
        <f>+#REF!</f>
        <v>#REF!</v>
      </c>
      <c r="E30" s="79"/>
      <c r="F30" s="78" t="s">
        <v>10</v>
      </c>
      <c r="G30" s="79" t="e">
        <f>+#REF!</f>
        <v>#REF!</v>
      </c>
      <c r="H30" s="79" t="e">
        <f>+#REF!</f>
        <v>#REF!</v>
      </c>
      <c r="I30" s="79">
        <f>14.17+10.71</f>
        <v>24.880000000000003</v>
      </c>
      <c r="J30" s="79"/>
      <c r="K30" s="79">
        <v>18.93</v>
      </c>
      <c r="L30" s="85"/>
      <c r="M30" s="79" t="e">
        <f>+M24-M27-M28-M29</f>
        <v>#REF!</v>
      </c>
      <c r="N30" s="79" t="e">
        <f>+N24-N27-N28-N29</f>
        <v>#REF!</v>
      </c>
      <c r="O30" s="78" t="s">
        <v>176</v>
      </c>
      <c r="P30" s="79" t="e">
        <f>+P24-P27-P28-P29</f>
        <v>#REF!</v>
      </c>
      <c r="Q30" s="79" t="e">
        <f>+Q24-Q27-Q28-Q29</f>
        <v>#REF!</v>
      </c>
      <c r="R30" s="79">
        <f>+R24-R27-R28-R29</f>
        <v>210.63000000000002</v>
      </c>
      <c r="S30" s="90"/>
    </row>
    <row r="31" spans="2:19" ht="13">
      <c r="B31" s="91"/>
      <c r="C31" s="79" t="e">
        <f>+#REF!</f>
        <v>#REF!</v>
      </c>
      <c r="D31" s="79" t="e">
        <f>+#REF!</f>
        <v>#REF!</v>
      </c>
      <c r="E31" s="79"/>
      <c r="F31" s="78" t="s">
        <v>317</v>
      </c>
      <c r="G31" s="79" t="e">
        <f>+#REF!</f>
        <v>#REF!</v>
      </c>
      <c r="H31" s="79" t="e">
        <f>+#REF!</f>
        <v>#REF!</v>
      </c>
      <c r="I31" s="88">
        <f>22.09+0.64</f>
        <v>22.73</v>
      </c>
      <c r="J31" s="79"/>
      <c r="K31" s="79">
        <v>20.07</v>
      </c>
      <c r="L31" s="85"/>
      <c r="M31" s="87"/>
      <c r="N31" s="87"/>
      <c r="O31" s="78"/>
      <c r="P31" s="87"/>
      <c r="Q31" s="87"/>
      <c r="R31" s="87"/>
      <c r="S31" s="86"/>
    </row>
    <row r="32" spans="2:19" ht="13" hidden="1">
      <c r="B32" s="54"/>
      <c r="C32" s="126" t="e">
        <f>+C19-C27-C29-C30+C31</f>
        <v>#REF!</v>
      </c>
      <c r="D32" s="126" t="e">
        <f>+D19-D27-D29-D30+D31</f>
        <v>#REF!</v>
      </c>
      <c r="E32" s="133"/>
      <c r="F32" s="129" t="s">
        <v>239</v>
      </c>
      <c r="G32" s="126" t="e">
        <f>+G19-G27-G29-G30+G31</f>
        <v>#REF!</v>
      </c>
      <c r="H32" s="126" t="e">
        <f>+H19-H27-H29-H30+H31</f>
        <v>#REF!</v>
      </c>
      <c r="I32" s="126">
        <f>+I19-I27-I29-I30+I31</f>
        <v>202.56000000000009</v>
      </c>
      <c r="J32" s="133"/>
      <c r="K32" s="126">
        <f>+K19-K27-K29-K30+K31</f>
        <v>209.81000000000006</v>
      </c>
      <c r="L32" s="85"/>
      <c r="M32" s="87"/>
      <c r="N32" s="87"/>
      <c r="O32" s="78"/>
      <c r="P32" s="87"/>
      <c r="Q32" s="87"/>
      <c r="R32" s="87"/>
      <c r="S32" s="86"/>
    </row>
    <row r="33" spans="2:19" ht="13">
      <c r="B33" s="54"/>
      <c r="C33" s="88" t="e">
        <f>+#REF!+#REF!</f>
        <v>#REF!</v>
      </c>
      <c r="D33" s="88" t="e">
        <f>+#REF!+#REF!</f>
        <v>#REF!</v>
      </c>
      <c r="E33" s="79"/>
      <c r="F33" s="143" t="s">
        <v>302</v>
      </c>
      <c r="G33" s="88" t="e">
        <f>+#REF!+#REF!</f>
        <v>#REF!</v>
      </c>
      <c r="H33" s="88" t="e">
        <f>+#REF!+#REF!</f>
        <v>#REF!</v>
      </c>
      <c r="I33" s="88">
        <f>3.72+3.55</f>
        <v>7.27</v>
      </c>
      <c r="J33" s="79"/>
      <c r="K33" s="88">
        <v>-0.82</v>
      </c>
      <c r="L33" s="85"/>
      <c r="M33" s="87"/>
      <c r="N33" s="87"/>
      <c r="O33" s="78" t="s">
        <v>22</v>
      </c>
      <c r="P33" s="87"/>
      <c r="Q33" s="87"/>
      <c r="R33" s="87"/>
      <c r="S33" s="49"/>
    </row>
    <row r="34" spans="2:19">
      <c r="B34" s="54"/>
      <c r="C34" s="126" t="e">
        <f>+C32-C33</f>
        <v>#REF!</v>
      </c>
      <c r="D34" s="126" t="e">
        <f>+D32-D33</f>
        <v>#REF!</v>
      </c>
      <c r="E34" s="133" t="e">
        <f>+C34*100/D34-100</f>
        <v>#REF!</v>
      </c>
      <c r="F34" s="129" t="s">
        <v>176</v>
      </c>
      <c r="G34" s="126" t="e">
        <f>+G32-G33</f>
        <v>#REF!</v>
      </c>
      <c r="H34" s="126" t="e">
        <f>+H32-H33</f>
        <v>#REF!</v>
      </c>
      <c r="I34" s="126">
        <f>+I32-I33</f>
        <v>195.29000000000008</v>
      </c>
      <c r="J34" s="133" t="e">
        <f>+G34*100/H34-100</f>
        <v>#REF!</v>
      </c>
      <c r="K34" s="126">
        <f>+K32-K33</f>
        <v>210.63000000000005</v>
      </c>
      <c r="L34" s="85"/>
      <c r="M34" s="79" t="e">
        <f>+#REF!</f>
        <v>#REF!</v>
      </c>
      <c r="N34" s="79" t="e">
        <f>+#REF!</f>
        <v>#REF!</v>
      </c>
      <c r="O34" s="78" t="s">
        <v>18</v>
      </c>
      <c r="P34" s="79" t="e">
        <f>+#REF!</f>
        <v>#REF!</v>
      </c>
      <c r="Q34" s="79" t="e">
        <f>+#REF!</f>
        <v>#REF!</v>
      </c>
      <c r="R34" s="79">
        <v>255.58</v>
      </c>
      <c r="S34" s="49"/>
    </row>
    <row r="35" spans="2:19">
      <c r="B35" s="54"/>
      <c r="C35" s="79" t="e">
        <f>+#REF!+#REF!+#REF!</f>
        <v>#REF!</v>
      </c>
      <c r="D35" s="79" t="e">
        <f>+#REF!++#REF!++#REF!</f>
        <v>#REF!</v>
      </c>
      <c r="E35" s="79"/>
      <c r="F35" s="78" t="s">
        <v>318</v>
      </c>
      <c r="G35" s="79" t="e">
        <f>+#REF!++#REF!+#REF!</f>
        <v>#REF!</v>
      </c>
      <c r="H35" s="79" t="e">
        <f>+#REF!+#REF!+#REF!</f>
        <v>#REF!</v>
      </c>
      <c r="I35" s="79">
        <f>68.73-0.9</f>
        <v>67.83</v>
      </c>
      <c r="J35" s="79"/>
      <c r="K35" s="79">
        <v>67.69</v>
      </c>
      <c r="L35" s="85"/>
      <c r="M35" s="79" t="e">
        <f>+#REF!</f>
        <v>#REF!</v>
      </c>
      <c r="N35" s="79" t="e">
        <f>+#REF!</f>
        <v>#REF!</v>
      </c>
      <c r="O35" s="78" t="s">
        <v>29</v>
      </c>
      <c r="P35" s="79" t="e">
        <f>+#REF!</f>
        <v>#REF!</v>
      </c>
      <c r="Q35" s="79" t="e">
        <f>+#REF!</f>
        <v>#REF!</v>
      </c>
      <c r="R35" s="79">
        <v>79.91</v>
      </c>
      <c r="S35" s="86"/>
    </row>
    <row r="36" spans="2:19" hidden="1">
      <c r="B36" s="54"/>
      <c r="C36" s="79"/>
      <c r="D36" s="79"/>
      <c r="E36" s="79"/>
      <c r="F36" s="78"/>
      <c r="G36" s="79"/>
      <c r="H36" s="79"/>
      <c r="I36" s="79"/>
      <c r="J36" s="79"/>
      <c r="K36" s="79"/>
      <c r="L36" s="85"/>
      <c r="S36" s="86"/>
    </row>
    <row r="37" spans="2:19" hidden="1">
      <c r="B37" s="54"/>
      <c r="C37" s="79"/>
      <c r="D37" s="79"/>
      <c r="E37" s="79"/>
      <c r="F37" s="26"/>
      <c r="G37" s="79"/>
      <c r="H37" s="79"/>
      <c r="I37" s="79"/>
      <c r="J37" s="79"/>
      <c r="K37" s="79"/>
      <c r="L37" s="85"/>
      <c r="S37" s="86"/>
    </row>
    <row r="38" spans="2:19" ht="24">
      <c r="B38" s="54"/>
      <c r="C38" s="79" t="e">
        <f>+#REF!</f>
        <v>#REF!</v>
      </c>
      <c r="D38" s="79" t="e">
        <f>+#REF!</f>
        <v>#REF!</v>
      </c>
      <c r="E38" s="79"/>
      <c r="F38" s="143" t="s">
        <v>238</v>
      </c>
      <c r="G38" s="79" t="e">
        <f>+#REF!</f>
        <v>#REF!</v>
      </c>
      <c r="H38" s="79" t="e">
        <f>+#REF!</f>
        <v>#REF!</v>
      </c>
      <c r="I38" s="79">
        <v>0</v>
      </c>
      <c r="J38" s="79"/>
      <c r="K38" s="79">
        <v>-3.87</v>
      </c>
      <c r="L38" s="85"/>
      <c r="M38" s="88" t="e">
        <f>+#REF!</f>
        <v>#REF!</v>
      </c>
      <c r="N38" s="88" t="e">
        <f>+#REF!</f>
        <v>#REF!</v>
      </c>
      <c r="O38" s="78" t="s">
        <v>160</v>
      </c>
      <c r="P38" s="88" t="e">
        <f>+#REF!</f>
        <v>#REF!</v>
      </c>
      <c r="Q38" s="88" t="e">
        <f>+#REF!</f>
        <v>#REF!</v>
      </c>
      <c r="R38" s="88">
        <f>+R39-R34-R35</f>
        <v>54.569999999999993</v>
      </c>
      <c r="S38" s="86"/>
    </row>
    <row r="39" spans="2:19">
      <c r="B39" s="54"/>
      <c r="C39" s="144" t="e">
        <f>+C34-C35-C36-C37-C38</f>
        <v>#REF!</v>
      </c>
      <c r="D39" s="144" t="e">
        <f>+D34-D35-D36-D37-D38</f>
        <v>#REF!</v>
      </c>
      <c r="E39" s="133" t="e">
        <f>+C39*100/D39-100</f>
        <v>#REF!</v>
      </c>
      <c r="F39" s="129" t="s">
        <v>177</v>
      </c>
      <c r="G39" s="144" t="e">
        <f>+G34-G35-G36-G37-G38</f>
        <v>#REF!</v>
      </c>
      <c r="H39" s="144" t="e">
        <f>+H34-H35-H36-H37-H38</f>
        <v>#REF!</v>
      </c>
      <c r="I39" s="144">
        <f>+I34-I35-I36-I37-I38</f>
        <v>127.46000000000008</v>
      </c>
      <c r="J39" s="133" t="e">
        <f>+G39*100/H39-100</f>
        <v>#REF!</v>
      </c>
      <c r="K39" s="144">
        <f>+K34-K35-K36-K37-K38</f>
        <v>146.81000000000006</v>
      </c>
      <c r="L39" s="85"/>
      <c r="M39" s="79" t="e">
        <f>+#REF!</f>
        <v>#REF!</v>
      </c>
      <c r="N39" s="79" t="e">
        <f>+#REF!</f>
        <v>#REF!</v>
      </c>
      <c r="O39" s="78" t="s">
        <v>23</v>
      </c>
      <c r="P39" s="79" t="e">
        <f>+#REF!</f>
        <v>#REF!</v>
      </c>
      <c r="Q39" s="79" t="e">
        <f>+#REF!</f>
        <v>#REF!</v>
      </c>
      <c r="R39" s="79">
        <v>390.06</v>
      </c>
      <c r="S39" s="86"/>
    </row>
    <row r="40" spans="2:19" ht="13">
      <c r="B40" s="54"/>
      <c r="C40" s="79" t="e">
        <f>+#REF!</f>
        <v>#REF!</v>
      </c>
      <c r="D40" s="79" t="e">
        <f>+#REF!</f>
        <v>#REF!</v>
      </c>
      <c r="E40" s="126"/>
      <c r="F40" s="78" t="s">
        <v>12</v>
      </c>
      <c r="G40" s="79">
        <v>123.64</v>
      </c>
      <c r="H40" s="79">
        <v>123.64</v>
      </c>
      <c r="I40" s="79" t="e">
        <f>+#REF!</f>
        <v>#REF!</v>
      </c>
      <c r="J40" s="126"/>
      <c r="K40" s="79">
        <v>123.64</v>
      </c>
      <c r="L40" s="85"/>
      <c r="M40" s="95"/>
      <c r="N40" s="95"/>
      <c r="O40" s="95"/>
      <c r="P40" s="95"/>
      <c r="Q40" s="95"/>
      <c r="R40" s="92"/>
      <c r="S40" s="93"/>
    </row>
    <row r="41" spans="2:19">
      <c r="B41" s="54"/>
      <c r="C41" s="126"/>
      <c r="D41" s="126"/>
      <c r="E41" s="126"/>
      <c r="F41" s="78" t="s">
        <v>187</v>
      </c>
      <c r="G41" s="126"/>
      <c r="H41" s="126"/>
      <c r="I41" s="126"/>
      <c r="J41" s="126"/>
      <c r="K41" s="126"/>
      <c r="L41" s="85"/>
      <c r="S41" s="94"/>
    </row>
    <row r="42" spans="2:19">
      <c r="B42" s="54"/>
      <c r="C42" s="126"/>
      <c r="D42" s="126"/>
      <c r="E42" s="126"/>
      <c r="F42" s="78"/>
      <c r="G42" s="126"/>
      <c r="H42" s="126"/>
      <c r="I42" s="126"/>
      <c r="J42" s="126"/>
      <c r="K42" s="126"/>
      <c r="L42" s="85"/>
      <c r="O42" s="107"/>
      <c r="S42" s="49"/>
    </row>
    <row r="43" spans="2:19">
      <c r="B43" s="54"/>
      <c r="C43" s="126"/>
      <c r="D43" s="126"/>
      <c r="E43" s="126"/>
      <c r="F43" s="78" t="s">
        <v>13</v>
      </c>
      <c r="G43" s="126"/>
      <c r="H43" s="79"/>
      <c r="I43" s="79">
        <v>236.43</v>
      </c>
      <c r="J43" s="79"/>
      <c r="K43" s="79">
        <v>266.42</v>
      </c>
      <c r="L43" s="85"/>
      <c r="M43" s="50" t="s">
        <v>311</v>
      </c>
      <c r="N43" s="85"/>
      <c r="O43" s="107"/>
      <c r="P43" s="85"/>
      <c r="Q43" s="85"/>
      <c r="R43" s="85"/>
      <c r="S43" s="49"/>
    </row>
    <row r="44" spans="2:19">
      <c r="B44" s="54"/>
      <c r="C44" s="126"/>
      <c r="D44" s="126"/>
      <c r="E44" s="126"/>
      <c r="F44" s="78"/>
      <c r="G44" s="126"/>
      <c r="H44" s="126"/>
      <c r="I44" s="126"/>
      <c r="J44" s="126"/>
      <c r="K44" s="126"/>
      <c r="L44" s="85"/>
      <c r="N44" s="99"/>
      <c r="R44" s="85"/>
      <c r="S44" s="49"/>
    </row>
    <row r="45" spans="2:19">
      <c r="B45" s="54"/>
      <c r="C45" s="27" t="e">
        <f>C39/C40*10</f>
        <v>#REF!</v>
      </c>
      <c r="D45" s="27" t="e">
        <f>D39/D40*10</f>
        <v>#REF!</v>
      </c>
      <c r="E45" s="126"/>
      <c r="F45" s="78" t="s">
        <v>35</v>
      </c>
      <c r="G45" s="27" t="e">
        <f>G39/G40*10</f>
        <v>#REF!</v>
      </c>
      <c r="H45" s="27" t="e">
        <f>H39/H40*10</f>
        <v>#REF!</v>
      </c>
      <c r="I45" s="27" t="e">
        <f>I39/I40*10</f>
        <v>#REF!</v>
      </c>
      <c r="J45" s="27"/>
      <c r="K45" s="27">
        <f>K39/K40*10</f>
        <v>11.873989000323524</v>
      </c>
      <c r="L45" s="85"/>
      <c r="M45" s="85" t="s">
        <v>316</v>
      </c>
      <c r="N45" s="99"/>
      <c r="R45" s="85"/>
      <c r="S45" s="49"/>
    </row>
    <row r="46" spans="2:19">
      <c r="B46" s="54"/>
      <c r="C46" s="126"/>
      <c r="D46" s="126"/>
      <c r="E46" s="126"/>
      <c r="F46" s="78"/>
      <c r="G46" s="126"/>
      <c r="H46" s="126"/>
      <c r="I46" s="126"/>
      <c r="J46" s="126"/>
      <c r="K46" s="126"/>
      <c r="L46" s="85"/>
      <c r="N46" s="99"/>
      <c r="P46" s="98"/>
      <c r="R46" s="85"/>
      <c r="S46" s="49"/>
    </row>
    <row r="47" spans="2:19">
      <c r="B47" s="54"/>
      <c r="C47" s="126"/>
      <c r="D47" s="126"/>
      <c r="E47" s="126"/>
      <c r="F47" s="78" t="s">
        <v>30</v>
      </c>
      <c r="G47" s="126"/>
      <c r="H47" s="126"/>
      <c r="I47" s="126"/>
      <c r="J47" s="126"/>
      <c r="K47" s="126"/>
      <c r="L47" s="85"/>
      <c r="M47" s="98" t="s">
        <v>283</v>
      </c>
      <c r="N47" s="99"/>
      <c r="P47" s="121"/>
      <c r="R47" s="85"/>
      <c r="S47" s="49"/>
    </row>
    <row r="48" spans="2:19">
      <c r="B48" s="54"/>
      <c r="C48" s="96" t="e">
        <f>+#REF!</f>
        <v>#REF!</v>
      </c>
      <c r="D48" s="96" t="e">
        <f>+#REF!</f>
        <v>#REF!</v>
      </c>
      <c r="E48" s="126"/>
      <c r="F48" s="78" t="s">
        <v>14</v>
      </c>
      <c r="G48" s="96" t="e">
        <f>+#REF!</f>
        <v>#REF!</v>
      </c>
      <c r="H48" s="96" t="e">
        <f>+#REF!</f>
        <v>#REF!</v>
      </c>
      <c r="I48" s="96" t="e">
        <f>+#REF!</f>
        <v>#REF!</v>
      </c>
      <c r="J48" s="96"/>
      <c r="K48" s="96" t="e">
        <f>+#REF!</f>
        <v>#REF!</v>
      </c>
      <c r="L48" s="85"/>
      <c r="M48" s="98" t="s">
        <v>312</v>
      </c>
      <c r="N48" s="99"/>
      <c r="R48" s="85"/>
      <c r="S48" s="49"/>
    </row>
    <row r="49" spans="1:22" ht="13">
      <c r="B49" s="54"/>
      <c r="C49" s="100" t="e">
        <f>+#REF!</f>
        <v>#REF!</v>
      </c>
      <c r="D49" s="100" t="e">
        <f>+#REF!</f>
        <v>#REF!</v>
      </c>
      <c r="E49" s="100"/>
      <c r="F49" s="131" t="s">
        <v>15</v>
      </c>
      <c r="G49" s="100" t="e">
        <f>+#REF!</f>
        <v>#REF!</v>
      </c>
      <c r="H49" s="100" t="e">
        <f>+#REF!</f>
        <v>#REF!</v>
      </c>
      <c r="I49" s="100" t="e">
        <f>+#REF!</f>
        <v>#REF!</v>
      </c>
      <c r="J49" s="100"/>
      <c r="K49" s="100" t="e">
        <f>+#REF!</f>
        <v>#REF!</v>
      </c>
      <c r="L49" s="85"/>
      <c r="M49" s="98" t="s">
        <v>313</v>
      </c>
      <c r="N49" s="99"/>
      <c r="Q49" s="111"/>
      <c r="R49" s="85"/>
      <c r="S49" s="49"/>
    </row>
    <row r="50" spans="1:22" ht="13">
      <c r="B50" s="54"/>
      <c r="L50" s="85"/>
      <c r="M50" s="98" t="s">
        <v>292</v>
      </c>
      <c r="N50" s="99"/>
      <c r="Q50" s="111"/>
      <c r="R50" s="85"/>
      <c r="S50" s="49"/>
    </row>
    <row r="51" spans="1:22" ht="13">
      <c r="B51" s="54"/>
      <c r="C51" s="140" t="s">
        <v>227</v>
      </c>
      <c r="L51" s="97"/>
      <c r="N51" s="99"/>
      <c r="Q51" s="113"/>
      <c r="R51" s="98"/>
      <c r="S51" s="49"/>
    </row>
    <row r="52" spans="1:22">
      <c r="A52" s="99"/>
      <c r="B52" s="54"/>
      <c r="L52" s="97"/>
      <c r="M52" s="104" t="s">
        <v>314</v>
      </c>
      <c r="Q52" s="108"/>
      <c r="R52" s="101"/>
      <c r="S52" s="49"/>
    </row>
    <row r="53" spans="1:22" ht="15">
      <c r="B53" s="54"/>
      <c r="C53" s="50" t="s">
        <v>284</v>
      </c>
      <c r="D53" s="99"/>
      <c r="E53" s="99"/>
      <c r="G53" s="99"/>
      <c r="H53" s="99"/>
      <c r="I53" s="99"/>
      <c r="J53" s="99"/>
      <c r="K53" s="97"/>
      <c r="L53" s="102"/>
      <c r="Q53" s="103"/>
      <c r="S53" s="49"/>
    </row>
    <row r="54" spans="1:22">
      <c r="B54" s="54"/>
      <c r="C54" s="50" t="s">
        <v>309</v>
      </c>
      <c r="D54" s="99"/>
      <c r="E54" s="99"/>
      <c r="G54" s="105"/>
      <c r="H54" s="105"/>
      <c r="I54" s="105"/>
      <c r="J54" s="105"/>
      <c r="K54" s="105"/>
      <c r="L54" s="106"/>
      <c r="Q54" s="107"/>
      <c r="S54" s="49"/>
    </row>
    <row r="55" spans="1:22">
      <c r="B55" s="54"/>
      <c r="D55" s="99"/>
      <c r="E55" s="99"/>
      <c r="G55" s="105"/>
      <c r="H55" s="105"/>
      <c r="I55" s="105"/>
      <c r="J55" s="105"/>
      <c r="K55" s="105"/>
      <c r="L55" s="99"/>
      <c r="Q55" s="107"/>
      <c r="S55" s="49"/>
    </row>
    <row r="56" spans="1:22">
      <c r="B56" s="54"/>
      <c r="C56" s="50" t="s">
        <v>285</v>
      </c>
      <c r="D56" s="99"/>
      <c r="E56" s="99"/>
      <c r="G56" s="105"/>
      <c r="H56" s="105"/>
      <c r="I56" s="105"/>
      <c r="J56" s="105"/>
      <c r="K56" s="105"/>
      <c r="L56" s="99"/>
      <c r="Q56" s="103"/>
      <c r="S56" s="49"/>
    </row>
    <row r="57" spans="1:22" ht="13">
      <c r="B57" s="54"/>
      <c r="D57" s="99"/>
      <c r="E57" s="99"/>
      <c r="G57" s="108"/>
      <c r="H57" s="109"/>
      <c r="I57" s="109"/>
      <c r="J57" s="109"/>
      <c r="K57" s="110"/>
      <c r="L57" s="99"/>
      <c r="S57" s="49"/>
    </row>
    <row r="58" spans="1:22" ht="15">
      <c r="B58" s="54"/>
      <c r="C58" s="107" t="s">
        <v>310</v>
      </c>
      <c r="D58" s="99"/>
      <c r="E58" s="99"/>
      <c r="K58" s="113"/>
      <c r="L58" s="111"/>
      <c r="P58" s="136"/>
      <c r="Q58" s="137" t="s">
        <v>34</v>
      </c>
      <c r="R58" s="136"/>
      <c r="S58" s="49"/>
      <c r="T58" s="112"/>
      <c r="U58" s="112"/>
      <c r="V58" s="112"/>
    </row>
    <row r="59" spans="1:22" ht="15">
      <c r="B59" s="54"/>
      <c r="C59" s="107" t="s">
        <v>293</v>
      </c>
      <c r="H59" s="113"/>
      <c r="I59" s="113"/>
      <c r="J59" s="113"/>
      <c r="K59" s="110"/>
      <c r="L59" s="113"/>
      <c r="P59" s="136"/>
      <c r="Q59" s="136"/>
      <c r="R59" s="137"/>
      <c r="S59" s="114"/>
      <c r="T59" s="112"/>
      <c r="U59" s="112"/>
      <c r="V59" s="112"/>
    </row>
    <row r="60" spans="1:22" ht="15">
      <c r="B60" s="54"/>
      <c r="H60" s="113"/>
      <c r="I60" s="113"/>
      <c r="J60" s="113"/>
      <c r="K60" s="110"/>
      <c r="L60" s="113"/>
      <c r="N60" s="113"/>
      <c r="O60" s="113"/>
      <c r="P60" s="136"/>
      <c r="Q60" s="136"/>
      <c r="R60" s="137"/>
      <c r="S60" s="114"/>
      <c r="T60" s="112"/>
      <c r="U60" s="112"/>
      <c r="V60" s="112"/>
    </row>
    <row r="61" spans="1:22" ht="15">
      <c r="B61" s="54"/>
      <c r="L61" s="99"/>
      <c r="N61" s="99"/>
      <c r="O61" s="99"/>
      <c r="P61" s="136"/>
      <c r="Q61" s="136"/>
      <c r="R61" s="137"/>
      <c r="S61" s="49"/>
    </row>
    <row r="62" spans="1:22" ht="15">
      <c r="B62" s="54"/>
      <c r="C62" s="139" t="s">
        <v>315</v>
      </c>
      <c r="L62" s="99"/>
      <c r="M62" s="99"/>
      <c r="N62" s="99"/>
      <c r="O62" s="99"/>
      <c r="P62" s="136"/>
      <c r="Q62" s="138" t="s">
        <v>52</v>
      </c>
      <c r="R62" s="136"/>
      <c r="S62" s="49"/>
    </row>
    <row r="63" spans="1:22" ht="15">
      <c r="B63" s="54"/>
      <c r="C63" s="139" t="s">
        <v>96</v>
      </c>
      <c r="D63" s="99"/>
      <c r="E63" s="99"/>
      <c r="G63" s="108"/>
      <c r="H63" s="110"/>
      <c r="I63" s="110"/>
      <c r="J63" s="110"/>
      <c r="K63" s="110"/>
      <c r="L63" s="99"/>
      <c r="M63" s="99"/>
      <c r="N63" s="99"/>
      <c r="O63" s="99"/>
      <c r="P63" s="136"/>
      <c r="Q63" s="138" t="s">
        <v>36</v>
      </c>
      <c r="R63" s="136"/>
      <c r="S63" s="49"/>
    </row>
    <row r="64" spans="1:22" ht="13" thickBot="1">
      <c r="A64" s="99"/>
      <c r="B64" s="115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7"/>
    </row>
    <row r="65" spans="6:18">
      <c r="F65" s="112"/>
      <c r="G65" s="112"/>
      <c r="H65" s="112"/>
      <c r="I65" s="112"/>
      <c r="J65" s="112"/>
      <c r="K65" s="112"/>
      <c r="L65" s="112"/>
      <c r="M65" s="112"/>
      <c r="N65" s="112"/>
      <c r="O65" s="313"/>
      <c r="P65" s="313"/>
      <c r="Q65" s="313"/>
    </row>
    <row r="66" spans="6:18" ht="15">
      <c r="F66" s="112"/>
      <c r="G66" s="112"/>
      <c r="H66" s="112"/>
      <c r="I66" s="112"/>
      <c r="J66" s="112"/>
      <c r="K66" s="112"/>
      <c r="L66" s="112"/>
      <c r="M66" s="112"/>
      <c r="N66" s="112"/>
      <c r="O66" s="118"/>
      <c r="P66" s="118"/>
      <c r="Q66" s="118"/>
      <c r="R66" s="118"/>
    </row>
    <row r="67" spans="6:18">
      <c r="F67" s="119"/>
      <c r="G67" s="119"/>
      <c r="H67" s="119"/>
      <c r="I67" s="119"/>
      <c r="J67" s="119"/>
      <c r="K67" s="119"/>
      <c r="L67" s="119"/>
      <c r="M67" s="119"/>
      <c r="N67" s="119"/>
    </row>
    <row r="68" spans="6:18">
      <c r="F68" s="119"/>
      <c r="G68" s="119"/>
      <c r="H68" s="119"/>
      <c r="I68" s="119"/>
      <c r="J68" s="119"/>
      <c r="K68" s="119"/>
      <c r="L68" s="119"/>
      <c r="M68" s="119"/>
      <c r="N68" s="119"/>
    </row>
    <row r="69" spans="6:18">
      <c r="F69" s="112"/>
      <c r="G69" s="112"/>
      <c r="H69" s="112"/>
      <c r="I69" s="112"/>
      <c r="J69" s="112"/>
      <c r="K69" s="112"/>
      <c r="L69" s="112"/>
      <c r="M69" s="112"/>
      <c r="N69" s="112"/>
    </row>
    <row r="70" spans="6:18">
      <c r="F70" s="112"/>
      <c r="G70" s="112"/>
      <c r="H70" s="112"/>
      <c r="I70" s="112"/>
      <c r="J70" s="112"/>
      <c r="K70" s="112"/>
      <c r="L70" s="112"/>
      <c r="M70" s="112"/>
      <c r="N70" s="112"/>
    </row>
    <row r="72" spans="6:18">
      <c r="F72" s="112"/>
      <c r="G72" s="112"/>
      <c r="H72" s="112"/>
      <c r="I72" s="112"/>
      <c r="J72" s="112"/>
      <c r="K72" s="112"/>
      <c r="L72" s="112"/>
      <c r="M72" s="112"/>
      <c r="N72" s="112"/>
    </row>
  </sheetData>
  <mergeCells count="5">
    <mergeCell ref="F2:Q2"/>
    <mergeCell ref="O65:Q65"/>
    <mergeCell ref="F1:Q1"/>
    <mergeCell ref="F3:Q3"/>
    <mergeCell ref="M6:R6"/>
  </mergeCells>
  <phoneticPr fontId="0" type="noConversion"/>
  <printOptions horizontalCentered="1" verticalCentered="1"/>
  <pageMargins left="0.17" right="0.17" top="0.17" bottom="0.16" header="0" footer="0.16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211"/>
  <sheetViews>
    <sheetView topLeftCell="K147" workbookViewId="0">
      <selection activeCell="R170" sqref="R170"/>
    </sheetView>
  </sheetViews>
  <sheetFormatPr baseColWidth="10" defaultColWidth="8.83203125" defaultRowHeight="12" x14ac:dyDescent="0"/>
  <cols>
    <col min="1" max="1" width="30.5" bestFit="1" customWidth="1"/>
    <col min="2" max="2" width="8.5" bestFit="1" customWidth="1"/>
    <col min="4" max="4" width="8.5" customWidth="1"/>
    <col min="5" max="6" width="7.1640625" bestFit="1" customWidth="1"/>
    <col min="7" max="7" width="12.6640625" bestFit="1" customWidth="1"/>
    <col min="9" max="9" width="9.33203125" bestFit="1" customWidth="1"/>
    <col min="10" max="10" width="10.6640625" bestFit="1" customWidth="1"/>
    <col min="12" max="12" width="27.1640625" customWidth="1"/>
    <col min="14" max="14" width="9.5" bestFit="1" customWidth="1"/>
    <col min="18" max="18" width="12.5" bestFit="1" customWidth="1"/>
    <col min="19" max="19" width="10.1640625" bestFit="1" customWidth="1"/>
    <col min="20" max="20" width="9.5" bestFit="1" customWidth="1"/>
    <col min="21" max="21" width="10.83203125" customWidth="1"/>
    <col min="26" max="26" width="18.83203125" customWidth="1"/>
    <col min="32" max="32" width="13.1640625" bestFit="1" customWidth="1"/>
  </cols>
  <sheetData>
    <row r="1" spans="1:32">
      <c r="A1" s="3" t="s">
        <v>95</v>
      </c>
      <c r="L1" s="3" t="s">
        <v>95</v>
      </c>
      <c r="AA1" t="s">
        <v>204</v>
      </c>
      <c r="AB1" t="s">
        <v>205</v>
      </c>
      <c r="AC1" t="s">
        <v>207</v>
      </c>
      <c r="AD1" t="s">
        <v>228</v>
      </c>
      <c r="AE1" t="s">
        <v>229</v>
      </c>
    </row>
    <row r="2" spans="1:32">
      <c r="A2" s="3" t="s">
        <v>127</v>
      </c>
      <c r="L2" s="3" t="s">
        <v>127</v>
      </c>
      <c r="Z2" t="s">
        <v>93</v>
      </c>
      <c r="AA2">
        <v>-3.9</v>
      </c>
      <c r="AB2">
        <v>-17.25</v>
      </c>
      <c r="AC2">
        <v>-57.33</v>
      </c>
      <c r="AD2">
        <v>-20.3</v>
      </c>
      <c r="AE2">
        <f>SUM(AA2:AD2)</f>
        <v>-98.779999999999987</v>
      </c>
    </row>
    <row r="3" spans="1:32">
      <c r="A3" s="3"/>
      <c r="B3" s="3" t="s">
        <v>129</v>
      </c>
      <c r="C3" s="37" t="s">
        <v>190</v>
      </c>
      <c r="L3" s="3"/>
      <c r="M3" s="3" t="s">
        <v>129</v>
      </c>
      <c r="N3" s="37" t="s">
        <v>190</v>
      </c>
      <c r="Z3" t="s">
        <v>197</v>
      </c>
      <c r="AA3">
        <v>0</v>
      </c>
      <c r="AB3">
        <v>-2.87</v>
      </c>
      <c r="AC3">
        <v>-4.4000000000000004</v>
      </c>
      <c r="AD3">
        <v>-1.04</v>
      </c>
      <c r="AE3">
        <f>SUM(AA3:AD3)</f>
        <v>-8.31</v>
      </c>
    </row>
    <row r="4" spans="1:32">
      <c r="A4" s="3" t="s">
        <v>128</v>
      </c>
      <c r="B4" s="3" t="s">
        <v>97</v>
      </c>
      <c r="C4" s="3" t="s">
        <v>93</v>
      </c>
      <c r="D4" s="3" t="s">
        <v>98</v>
      </c>
      <c r="E4" s="3" t="s">
        <v>99</v>
      </c>
      <c r="F4" s="3" t="s">
        <v>100</v>
      </c>
      <c r="G4" s="3" t="s">
        <v>102</v>
      </c>
      <c r="H4" s="3" t="s">
        <v>91</v>
      </c>
      <c r="I4" s="3" t="s">
        <v>93</v>
      </c>
      <c r="J4" s="3" t="s">
        <v>94</v>
      </c>
      <c r="L4" s="3" t="s">
        <v>128</v>
      </c>
      <c r="M4" s="3" t="s">
        <v>97</v>
      </c>
      <c r="N4" s="3" t="s">
        <v>93</v>
      </c>
      <c r="O4" s="3" t="s">
        <v>98</v>
      </c>
      <c r="P4" s="3" t="s">
        <v>99</v>
      </c>
      <c r="Q4" s="3" t="s">
        <v>100</v>
      </c>
      <c r="R4" s="3" t="s">
        <v>102</v>
      </c>
      <c r="S4" s="3" t="s">
        <v>91</v>
      </c>
      <c r="T4" s="3" t="s">
        <v>93</v>
      </c>
      <c r="U4" s="3" t="s">
        <v>94</v>
      </c>
      <c r="Z4" t="s">
        <v>241</v>
      </c>
      <c r="AA4">
        <v>0</v>
      </c>
      <c r="AB4">
        <v>0</v>
      </c>
      <c r="AC4">
        <v>-0.46</v>
      </c>
      <c r="AD4">
        <v>-0.43</v>
      </c>
      <c r="AE4">
        <f>SUM(AA4:AD4)</f>
        <v>-0.89</v>
      </c>
    </row>
    <row r="5" spans="1:32">
      <c r="Z5" t="s">
        <v>97</v>
      </c>
      <c r="AA5">
        <v>-6.68</v>
      </c>
      <c r="AB5">
        <v>-71.260000000000005</v>
      </c>
      <c r="AC5">
        <v>-26.39</v>
      </c>
      <c r="AD5">
        <v>41.12</v>
      </c>
      <c r="AE5">
        <f>SUM(AA5:AD5)</f>
        <v>-63.21</v>
      </c>
    </row>
    <row r="6" spans="1:32">
      <c r="A6" s="3" t="s">
        <v>17</v>
      </c>
      <c r="L6" s="3" t="s">
        <v>17</v>
      </c>
      <c r="Z6" t="s">
        <v>91</v>
      </c>
      <c r="AA6">
        <f>SUM(AA2:AA5)</f>
        <v>-10.58</v>
      </c>
      <c r="AB6">
        <f>SUM(AB2:AB5)</f>
        <v>-91.38000000000001</v>
      </c>
      <c r="AC6">
        <f>SUM(AC2:AC5)</f>
        <v>-88.58</v>
      </c>
      <c r="AD6">
        <f>SUM(AD2:AD5)</f>
        <v>19.349999999999998</v>
      </c>
      <c r="AE6">
        <f>SUM(AE2:AE5)</f>
        <v>-171.19</v>
      </c>
    </row>
    <row r="8" spans="1:32">
      <c r="A8" t="s">
        <v>101</v>
      </c>
      <c r="B8" s="12">
        <v>0</v>
      </c>
      <c r="C8" s="12">
        <v>43480</v>
      </c>
      <c r="D8" s="12">
        <v>7842</v>
      </c>
      <c r="E8" s="12">
        <v>826</v>
      </c>
      <c r="F8" s="12">
        <v>540</v>
      </c>
      <c r="G8" s="12">
        <v>0</v>
      </c>
      <c r="H8" s="16">
        <f>SUM(B8:G8)</f>
        <v>52688</v>
      </c>
      <c r="I8" s="30">
        <f>+C8</f>
        <v>43480</v>
      </c>
      <c r="J8" s="32">
        <f t="shared" ref="J8:J14" si="0">+D8+E8+F8</f>
        <v>9208</v>
      </c>
      <c r="L8" t="s">
        <v>101</v>
      </c>
      <c r="M8" s="12">
        <v>0</v>
      </c>
      <c r="N8" s="12">
        <v>43480</v>
      </c>
      <c r="O8" s="12">
        <v>7842</v>
      </c>
      <c r="P8" s="12">
        <v>826</v>
      </c>
      <c r="Q8" s="12">
        <v>540</v>
      </c>
      <c r="R8" s="12">
        <v>0</v>
      </c>
      <c r="S8" s="16">
        <v>52688</v>
      </c>
      <c r="T8" s="30">
        <v>43480</v>
      </c>
      <c r="U8" s="32">
        <v>9208</v>
      </c>
    </row>
    <row r="9" spans="1:32">
      <c r="A9" t="s">
        <v>103</v>
      </c>
      <c r="B9" s="18">
        <v>0</v>
      </c>
      <c r="C9" s="18">
        <v>32195.84</v>
      </c>
      <c r="D9" s="18">
        <v>5241.9799999999996</v>
      </c>
      <c r="E9" s="18">
        <v>452.78</v>
      </c>
      <c r="F9" s="18">
        <v>369.29</v>
      </c>
      <c r="G9" s="18">
        <v>0</v>
      </c>
      <c r="H9" s="17">
        <f>SUM(B9:G9)</f>
        <v>38259.89</v>
      </c>
      <c r="I9" s="31">
        <f>+C9</f>
        <v>32195.84</v>
      </c>
      <c r="J9" s="33">
        <f t="shared" si="0"/>
        <v>6064.0499999999993</v>
      </c>
      <c r="L9" t="s">
        <v>103</v>
      </c>
      <c r="M9" s="18">
        <v>0</v>
      </c>
      <c r="N9" s="18">
        <v>32195.84</v>
      </c>
      <c r="O9" s="18">
        <v>5241.9799999999996</v>
      </c>
      <c r="P9" s="18">
        <v>452.78</v>
      </c>
      <c r="Q9" s="18">
        <v>369.29</v>
      </c>
      <c r="R9" s="18">
        <v>0</v>
      </c>
      <c r="S9" s="17">
        <v>38259.89</v>
      </c>
      <c r="T9" s="31">
        <v>32195.84</v>
      </c>
      <c r="U9" s="33">
        <v>6064.05</v>
      </c>
    </row>
    <row r="10" spans="1:32">
      <c r="A10" t="s">
        <v>104</v>
      </c>
      <c r="B10" s="18">
        <v>0</v>
      </c>
      <c r="C10" s="18">
        <v>-896.2</v>
      </c>
      <c r="D10" s="18">
        <v>0</v>
      </c>
      <c r="E10" s="18">
        <v>-2.91</v>
      </c>
      <c r="F10" s="18">
        <v>0.25</v>
      </c>
      <c r="G10" s="18">
        <v>0</v>
      </c>
      <c r="H10" s="17">
        <f>SUM(B10:G10)</f>
        <v>-898.86</v>
      </c>
      <c r="I10" s="31">
        <f>+C10</f>
        <v>-896.2</v>
      </c>
      <c r="J10" s="33">
        <f t="shared" si="0"/>
        <v>-2.66</v>
      </c>
      <c r="L10" t="s">
        <v>104</v>
      </c>
      <c r="M10" s="18">
        <v>0</v>
      </c>
      <c r="N10" s="18">
        <v>-896.2</v>
      </c>
      <c r="O10" s="18">
        <v>0</v>
      </c>
      <c r="P10" s="18">
        <v>-2.91</v>
      </c>
      <c r="Q10" s="18">
        <v>0.25</v>
      </c>
      <c r="R10" s="18">
        <v>0</v>
      </c>
      <c r="S10" s="17">
        <v>-898.86</v>
      </c>
      <c r="T10" s="31">
        <v>-896.2</v>
      </c>
      <c r="U10" s="33">
        <v>-2.66</v>
      </c>
      <c r="AA10" t="s">
        <v>97</v>
      </c>
      <c r="AB10" t="s">
        <v>93</v>
      </c>
      <c r="AC10" t="s">
        <v>197</v>
      </c>
      <c r="AD10" t="s">
        <v>99</v>
      </c>
      <c r="AE10" t="s">
        <v>132</v>
      </c>
      <c r="AF10" t="s">
        <v>54</v>
      </c>
    </row>
    <row r="11" spans="1:32">
      <c r="A11" t="s">
        <v>105</v>
      </c>
      <c r="B11" s="17">
        <f>+B9+B10</f>
        <v>0</v>
      </c>
      <c r="C11" s="17">
        <f t="shared" ref="C11:I11" si="1">+C9+C10</f>
        <v>31299.64</v>
      </c>
      <c r="D11" s="17">
        <f t="shared" si="1"/>
        <v>5241.9799999999996</v>
      </c>
      <c r="E11" s="17">
        <f t="shared" si="1"/>
        <v>449.86999999999995</v>
      </c>
      <c r="F11" s="17">
        <f t="shared" si="1"/>
        <v>369.54</v>
      </c>
      <c r="G11" s="17">
        <f t="shared" si="1"/>
        <v>0</v>
      </c>
      <c r="H11" s="17">
        <f t="shared" si="1"/>
        <v>37361.03</v>
      </c>
      <c r="I11" s="31">
        <f t="shared" si="1"/>
        <v>31299.64</v>
      </c>
      <c r="J11" s="33">
        <f t="shared" si="0"/>
        <v>6061.3899999999994</v>
      </c>
      <c r="L11" t="s">
        <v>105</v>
      </c>
      <c r="M11" s="17">
        <v>0</v>
      </c>
      <c r="N11" s="17">
        <v>31299.64</v>
      </c>
      <c r="O11" s="17">
        <v>5241.9799999999996</v>
      </c>
      <c r="P11" s="17">
        <v>449.87</v>
      </c>
      <c r="Q11" s="17">
        <v>369.54</v>
      </c>
      <c r="R11" s="17">
        <v>0</v>
      </c>
      <c r="S11" s="17">
        <v>37361.03</v>
      </c>
      <c r="T11" s="31">
        <v>31299.64</v>
      </c>
      <c r="U11" s="33">
        <v>6061.39</v>
      </c>
      <c r="Z11" t="s">
        <v>297</v>
      </c>
      <c r="AA11" s="18">
        <v>98085.119999999995</v>
      </c>
      <c r="AB11" s="18">
        <v>-82575.67</v>
      </c>
      <c r="AC11" s="18">
        <v>-13450.78</v>
      </c>
      <c r="AD11" s="18">
        <v>-1350.52</v>
      </c>
      <c r="AE11" s="18">
        <v>-708.15</v>
      </c>
    </row>
    <row r="12" spans="1:32">
      <c r="A12" t="s">
        <v>106</v>
      </c>
      <c r="B12" s="18">
        <v>0</v>
      </c>
      <c r="C12" s="18">
        <v>-4607.01</v>
      </c>
      <c r="D12" s="18">
        <v>-722.84</v>
      </c>
      <c r="E12" s="18">
        <v>-72.180000000000007</v>
      </c>
      <c r="F12" s="18">
        <v>-39.71</v>
      </c>
      <c r="G12" s="18">
        <v>0</v>
      </c>
      <c r="H12" s="17">
        <f>SUM(B12:G12)</f>
        <v>-5441.7400000000007</v>
      </c>
      <c r="I12" s="31">
        <f>+C12</f>
        <v>-4607.01</v>
      </c>
      <c r="J12" s="33">
        <f t="shared" si="0"/>
        <v>-834.73</v>
      </c>
      <c r="L12" t="s">
        <v>106</v>
      </c>
      <c r="M12" s="18">
        <v>0</v>
      </c>
      <c r="N12" s="18">
        <v>-4607.01</v>
      </c>
      <c r="O12" s="18">
        <v>-722.84</v>
      </c>
      <c r="P12" s="18">
        <v>-72.180000000000007</v>
      </c>
      <c r="Q12" s="18">
        <v>-39.71</v>
      </c>
      <c r="R12" s="18">
        <v>0</v>
      </c>
      <c r="S12" s="17">
        <v>-5441.74</v>
      </c>
      <c r="T12" s="31">
        <v>-4607.01</v>
      </c>
      <c r="U12" s="33">
        <v>-834.73</v>
      </c>
      <c r="Z12" t="s">
        <v>232</v>
      </c>
      <c r="AA12">
        <f>-AA5</f>
        <v>6.68</v>
      </c>
      <c r="AB12">
        <f>+$AA12*AB$11/$AA$11</f>
        <v>-5.6237426798274806</v>
      </c>
      <c r="AC12">
        <f t="shared" ref="AC12:AE15" si="2">+$AA12*AC$11/$AA$11</f>
        <v>-0.91605342787978439</v>
      </c>
      <c r="AD12">
        <f t="shared" si="2"/>
        <v>-9.197596536559266E-2</v>
      </c>
      <c r="AE12">
        <f t="shared" si="2"/>
        <v>-4.8227926927142471E-2</v>
      </c>
      <c r="AF12" s="6">
        <f>SUM(AA12:AE12)</f>
        <v>-3.5388358909926865E-16</v>
      </c>
    </row>
    <row r="13" spans="1:32">
      <c r="A13" t="s">
        <v>107</v>
      </c>
      <c r="B13" s="17">
        <f t="shared" ref="B13:G13" si="3">+B12*$H$13/$H$12</f>
        <v>0</v>
      </c>
      <c r="C13" s="17">
        <f t="shared" si="3"/>
        <v>-4567.7613435776047</v>
      </c>
      <c r="D13" s="17">
        <f t="shared" si="3"/>
        <v>-716.68188469129359</v>
      </c>
      <c r="E13" s="17">
        <f t="shared" si="3"/>
        <v>-71.565074479853877</v>
      </c>
      <c r="F13" s="17">
        <f t="shared" si="3"/>
        <v>-39.371697251246836</v>
      </c>
      <c r="G13" s="17">
        <f t="shared" si="3"/>
        <v>0</v>
      </c>
      <c r="H13" s="18">
        <v>-5395.38</v>
      </c>
      <c r="I13" s="31">
        <f>+C13</f>
        <v>-4567.7613435776047</v>
      </c>
      <c r="J13" s="33">
        <f t="shared" si="0"/>
        <v>-827.61865642239422</v>
      </c>
      <c r="L13" t="s">
        <v>107</v>
      </c>
      <c r="M13" s="17">
        <v>0</v>
      </c>
      <c r="N13" s="17">
        <v>-4567.7613435776047</v>
      </c>
      <c r="O13" s="17">
        <v>-716.68188469129359</v>
      </c>
      <c r="P13" s="17">
        <v>-71.565074479853877</v>
      </c>
      <c r="Q13" s="17">
        <v>-39.371697251246836</v>
      </c>
      <c r="R13" s="17">
        <v>0</v>
      </c>
      <c r="S13" s="18">
        <v>-5395.38</v>
      </c>
      <c r="T13" s="31">
        <v>-4567.7613435776047</v>
      </c>
      <c r="U13" s="33">
        <v>-827.61865642239422</v>
      </c>
      <c r="Z13" t="s">
        <v>233</v>
      </c>
      <c r="AA13">
        <f>-AB5</f>
        <v>71.260000000000005</v>
      </c>
      <c r="AB13">
        <f>+$AA13*AB$11/$AA$11</f>
        <v>-59.992201102471007</v>
      </c>
      <c r="AC13">
        <f t="shared" si="2"/>
        <v>-9.7721507890289594</v>
      </c>
      <c r="AD13">
        <f t="shared" si="2"/>
        <v>-0.98116875628025946</v>
      </c>
      <c r="AE13">
        <f t="shared" si="2"/>
        <v>-0.51447935221978625</v>
      </c>
      <c r="AF13" s="6">
        <f>SUM(AA13:AE13)</f>
        <v>-7.3274719625260332E-15</v>
      </c>
    </row>
    <row r="14" spans="1:32">
      <c r="A14" t="s">
        <v>39</v>
      </c>
      <c r="B14" s="6">
        <f t="shared" ref="B14:G14" si="4">+B11+B13</f>
        <v>0</v>
      </c>
      <c r="C14" s="6">
        <f t="shared" si="4"/>
        <v>26731.878656422396</v>
      </c>
      <c r="D14" s="6">
        <f t="shared" si="4"/>
        <v>4525.2981153087057</v>
      </c>
      <c r="E14" s="6">
        <f t="shared" si="4"/>
        <v>378.30492552014607</v>
      </c>
      <c r="F14" s="6">
        <f t="shared" si="4"/>
        <v>330.16830274875321</v>
      </c>
      <c r="G14" s="6">
        <f t="shared" si="4"/>
        <v>0</v>
      </c>
      <c r="H14" s="17">
        <f>SUM(B14:G14)</f>
        <v>31965.65</v>
      </c>
      <c r="I14" s="28">
        <f>+C14</f>
        <v>26731.878656422396</v>
      </c>
      <c r="J14" s="29">
        <f t="shared" si="0"/>
        <v>5233.771343577605</v>
      </c>
      <c r="L14" t="s">
        <v>39</v>
      </c>
      <c r="M14" s="6">
        <v>0</v>
      </c>
      <c r="N14" s="6">
        <v>26731.878656422396</v>
      </c>
      <c r="O14" s="6">
        <v>4525.2981153087057</v>
      </c>
      <c r="P14" s="6">
        <v>378.30492552014607</v>
      </c>
      <c r="Q14" s="6">
        <v>330.16830274875321</v>
      </c>
      <c r="R14" s="6">
        <v>0</v>
      </c>
      <c r="S14" s="17">
        <v>31965.65</v>
      </c>
      <c r="T14" s="28">
        <v>26731.878656422396</v>
      </c>
      <c r="U14" s="29">
        <v>5233.771343577605</v>
      </c>
      <c r="Z14" t="s">
        <v>234</v>
      </c>
      <c r="AA14">
        <f>-AC5</f>
        <v>26.39</v>
      </c>
      <c r="AB14">
        <f>+$AA14*AB$11/$AA$11</f>
        <v>-22.217151095905269</v>
      </c>
      <c r="AC14">
        <f t="shared" si="2"/>
        <v>-3.6189595751119032</v>
      </c>
      <c r="AD14">
        <f t="shared" si="2"/>
        <v>-0.3633601386224537</v>
      </c>
      <c r="AE14">
        <f t="shared" si="2"/>
        <v>-0.19052919036037272</v>
      </c>
      <c r="AF14" s="6">
        <f>SUM(AA14:AE14)</f>
        <v>1.9706458687096529E-15</v>
      </c>
    </row>
    <row r="15" spans="1:32">
      <c r="Z15" t="s">
        <v>231</v>
      </c>
      <c r="AA15">
        <f>-AD5</f>
        <v>-41.12</v>
      </c>
      <c r="AB15">
        <f>+$AA15*AB$11/$AA$11</f>
        <v>34.618008831512874</v>
      </c>
      <c r="AC15">
        <f t="shared" si="2"/>
        <v>5.638939663834841</v>
      </c>
      <c r="AD15">
        <f t="shared" si="2"/>
        <v>0.5661754035678398</v>
      </c>
      <c r="AE15">
        <f t="shared" si="2"/>
        <v>0.29687610108444584</v>
      </c>
      <c r="AF15" s="6">
        <f>SUM(AA15:AE15)</f>
        <v>3.4416913763379853E-15</v>
      </c>
    </row>
    <row r="16" spans="1:32">
      <c r="Z16" t="s">
        <v>54</v>
      </c>
      <c r="AA16">
        <f>SUM(AA12:AA15)</f>
        <v>63.21</v>
      </c>
      <c r="AB16">
        <f>SUM(AB12:AB15)</f>
        <v>-53.215086046690878</v>
      </c>
      <c r="AC16">
        <f>SUM(AC12:AC15)</f>
        <v>-8.6682241281858055</v>
      </c>
      <c r="AD16">
        <f>SUM(AD12:AD15)</f>
        <v>-0.87032945670046591</v>
      </c>
      <c r="AE16">
        <f>SUM(AE12:AE15)</f>
        <v>-0.45636036842285566</v>
      </c>
      <c r="AF16" s="6">
        <f>SUM(AA16:AE16)</f>
        <v>-4.3298697960381105E-15</v>
      </c>
    </row>
    <row r="17" spans="1:31">
      <c r="A17" s="3" t="s">
        <v>20</v>
      </c>
      <c r="L17" s="3" t="s">
        <v>20</v>
      </c>
    </row>
    <row r="18" spans="1:31">
      <c r="Z18" s="3" t="s">
        <v>298</v>
      </c>
    </row>
    <row r="19" spans="1:31">
      <c r="A19" t="s">
        <v>108</v>
      </c>
      <c r="B19" s="18">
        <v>2860.29</v>
      </c>
      <c r="C19" s="18">
        <v>7310.38</v>
      </c>
      <c r="D19" s="18">
        <v>1391.19</v>
      </c>
      <c r="E19" s="18">
        <v>52.4</v>
      </c>
      <c r="F19" s="18">
        <v>105.74</v>
      </c>
      <c r="G19" s="18">
        <v>0</v>
      </c>
      <c r="H19" s="17">
        <f>SUM(B19:G19)</f>
        <v>11720</v>
      </c>
      <c r="I19" s="31">
        <f>+C19</f>
        <v>7310.38</v>
      </c>
      <c r="J19" s="33">
        <f t="shared" ref="J19:J24" si="5">+D19+E19+F19</f>
        <v>1549.3300000000002</v>
      </c>
      <c r="L19" t="s">
        <v>108</v>
      </c>
      <c r="M19" s="18">
        <v>2860.29</v>
      </c>
      <c r="N19" s="18">
        <v>7310.38</v>
      </c>
      <c r="O19" s="18">
        <v>1391.19</v>
      </c>
      <c r="P19" s="18">
        <v>52.4</v>
      </c>
      <c r="Q19" s="18">
        <v>105.74</v>
      </c>
      <c r="R19" s="18">
        <v>0</v>
      </c>
      <c r="S19" s="17">
        <v>11720</v>
      </c>
      <c r="T19" s="31">
        <v>7310.38</v>
      </c>
      <c r="U19" s="33">
        <v>1549.33</v>
      </c>
      <c r="AA19" t="s">
        <v>204</v>
      </c>
      <c r="AB19" t="s">
        <v>205</v>
      </c>
      <c r="AC19" t="s">
        <v>207</v>
      </c>
      <c r="AD19" t="s">
        <v>228</v>
      </c>
      <c r="AE19" t="s">
        <v>229</v>
      </c>
    </row>
    <row r="20" spans="1:31">
      <c r="A20" t="s">
        <v>109</v>
      </c>
      <c r="B20" s="18">
        <v>-2246.4</v>
      </c>
      <c r="C20" s="18">
        <v>-3891.11</v>
      </c>
      <c r="D20" s="18">
        <v>-739.5</v>
      </c>
      <c r="E20" s="18">
        <v>-55.47</v>
      </c>
      <c r="F20" s="18">
        <v>-41</v>
      </c>
      <c r="G20" s="18">
        <v>-54.34</v>
      </c>
      <c r="H20" s="17">
        <f>SUM(B20:G20)</f>
        <v>-7027.8200000000006</v>
      </c>
      <c r="I20" s="31">
        <f>+C20</f>
        <v>-3891.11</v>
      </c>
      <c r="J20" s="33">
        <f t="shared" si="5"/>
        <v>-835.97</v>
      </c>
      <c r="L20" t="s">
        <v>109</v>
      </c>
      <c r="M20" s="18">
        <v>-2246.4</v>
      </c>
      <c r="N20" s="18">
        <v>-3891.11</v>
      </c>
      <c r="O20" s="18">
        <v>-739.5</v>
      </c>
      <c r="P20" s="18">
        <v>-55.47</v>
      </c>
      <c r="Q20" s="18">
        <v>-41</v>
      </c>
      <c r="R20" s="18">
        <v>-54.34</v>
      </c>
      <c r="S20" s="17">
        <v>-7027.82</v>
      </c>
      <c r="T20" s="31">
        <v>-3891.11</v>
      </c>
      <c r="U20" s="33">
        <v>-835.97</v>
      </c>
      <c r="Z20" t="s">
        <v>93</v>
      </c>
      <c r="AA20" s="6">
        <f>+AA2+AB12</f>
        <v>-9.52374267982748</v>
      </c>
      <c r="AB20" s="6">
        <f>+AB2+AB13</f>
        <v>-77.242201102471</v>
      </c>
      <c r="AC20" s="6">
        <f>+AC2+AB14</f>
        <v>-79.547151095905264</v>
      </c>
      <c r="AD20" s="6">
        <f>+AD2+AB15</f>
        <v>14.318008831512874</v>
      </c>
      <c r="AE20" s="6">
        <f>SUM(AA20:AD20)</f>
        <v>-151.99508604669086</v>
      </c>
    </row>
    <row r="21" spans="1:31">
      <c r="A21" t="s">
        <v>110</v>
      </c>
      <c r="B21" s="17">
        <v>0</v>
      </c>
      <c r="C21" s="17">
        <f>+C8*$G$20/$H$8</f>
        <v>-44.843288794412395</v>
      </c>
      <c r="D21" s="17">
        <f>+D8*$G$20/$H$8</f>
        <v>-8.0878811114485281</v>
      </c>
      <c r="E21" s="17">
        <f>+E8*$G$20/$H$8</f>
        <v>-0.85189872456726401</v>
      </c>
      <c r="F21" s="17">
        <f>+F8*$G$20/$H$8</f>
        <v>-0.5569313695718191</v>
      </c>
      <c r="G21" s="17">
        <f>-SUM(C21:F21)</f>
        <v>54.340000000000011</v>
      </c>
      <c r="H21" s="17">
        <f>SUM(B21:G21)</f>
        <v>0</v>
      </c>
      <c r="I21" s="31">
        <f>+C21</f>
        <v>-44.843288794412395</v>
      </c>
      <c r="J21" s="33">
        <f t="shared" si="5"/>
        <v>-9.4967112055876104</v>
      </c>
      <c r="L21" t="s">
        <v>110</v>
      </c>
      <c r="M21" s="17">
        <v>0</v>
      </c>
      <c r="N21" s="17">
        <v>-44.843288794412395</v>
      </c>
      <c r="O21" s="17">
        <v>-8.0878811114485281</v>
      </c>
      <c r="P21" s="17">
        <v>-0.85189872456726401</v>
      </c>
      <c r="Q21" s="17">
        <v>-0.5569313695718191</v>
      </c>
      <c r="R21" s="17">
        <v>54.34</v>
      </c>
      <c r="S21" s="17">
        <v>0</v>
      </c>
      <c r="T21" s="31">
        <v>-44.843288794412395</v>
      </c>
      <c r="U21" s="33">
        <v>-9.4967112055876104</v>
      </c>
      <c r="Z21" t="s">
        <v>197</v>
      </c>
      <c r="AA21" s="6">
        <f>+AA3+AC12</f>
        <v>-0.91605342787978439</v>
      </c>
      <c r="AB21" s="6">
        <f>+AB3+AC13</f>
        <v>-12.64215078902896</v>
      </c>
      <c r="AC21" s="6">
        <f>+AC3+AC14</f>
        <v>-8.0189595751119036</v>
      </c>
      <c r="AD21" s="6">
        <f>+AD3+AC15</f>
        <v>4.598939663834841</v>
      </c>
      <c r="AE21" s="6">
        <f>SUM(AA21:AD21)</f>
        <v>-16.978224128185808</v>
      </c>
    </row>
    <row r="22" spans="1:31">
      <c r="A22" t="s">
        <v>112</v>
      </c>
      <c r="B22" s="17">
        <f t="shared" ref="B22:I22" si="6">SUM(B19:B21)</f>
        <v>613.88999999999987</v>
      </c>
      <c r="C22" s="17">
        <f t="shared" si="6"/>
        <v>3374.4267112055877</v>
      </c>
      <c r="D22" s="17">
        <f t="shared" si="6"/>
        <v>643.60211888855156</v>
      </c>
      <c r="E22" s="17">
        <f t="shared" si="6"/>
        <v>-3.9218987245672645</v>
      </c>
      <c r="F22" s="17">
        <f t="shared" si="6"/>
        <v>64.183068630428181</v>
      </c>
      <c r="G22" s="17">
        <f t="shared" si="6"/>
        <v>0</v>
      </c>
      <c r="H22" s="17">
        <f t="shared" si="6"/>
        <v>4692.1799999999994</v>
      </c>
      <c r="I22" s="31">
        <f t="shared" si="6"/>
        <v>3374.4267112055877</v>
      </c>
      <c r="J22" s="33">
        <f t="shared" si="5"/>
        <v>703.86328879441248</v>
      </c>
      <c r="L22" t="s">
        <v>112</v>
      </c>
      <c r="M22" s="17">
        <v>613.89</v>
      </c>
      <c r="N22" s="17">
        <v>3374.4267112055877</v>
      </c>
      <c r="O22" s="17">
        <v>643.60211888855156</v>
      </c>
      <c r="P22" s="17">
        <v>-3.9218987245672645</v>
      </c>
      <c r="Q22" s="17">
        <v>64.183068630428181</v>
      </c>
      <c r="R22" s="17">
        <v>0</v>
      </c>
      <c r="S22" s="17">
        <v>4692.18</v>
      </c>
      <c r="T22" s="31">
        <v>3374.4267112055877</v>
      </c>
      <c r="U22" s="33">
        <v>703.86328879441248</v>
      </c>
      <c r="Z22" t="s">
        <v>241</v>
      </c>
      <c r="AA22" s="6">
        <f>+AA4+AD12+AE12</f>
        <v>-0.14020389229273514</v>
      </c>
      <c r="AB22" s="6">
        <f>+AB4+AD13+AE13</f>
        <v>-1.4956481085000457</v>
      </c>
      <c r="AC22" s="6">
        <f>+AC4+AD14+AE14</f>
        <v>-1.0138893289828264</v>
      </c>
      <c r="AD22" s="6">
        <f>+AD4+AD15+AE15</f>
        <v>0.43305150465228565</v>
      </c>
      <c r="AE22" s="6">
        <f>SUM(AA22:AD22)</f>
        <v>-2.2166898251233218</v>
      </c>
    </row>
    <row r="23" spans="1:31">
      <c r="A23" t="s">
        <v>113</v>
      </c>
      <c r="B23" s="18">
        <v>22388.67</v>
      </c>
      <c r="C23" s="18">
        <v>-18765.45</v>
      </c>
      <c r="D23" s="18">
        <v>-3077.99</v>
      </c>
      <c r="E23" s="18">
        <v>-321.55</v>
      </c>
      <c r="F23" s="18">
        <v>-223.68</v>
      </c>
      <c r="G23" s="18">
        <v>0</v>
      </c>
      <c r="H23" s="17">
        <f>SUM(B23:G23)</f>
        <v>-2.2737367544323206E-12</v>
      </c>
      <c r="I23" s="31">
        <f>+C23</f>
        <v>-18765.45</v>
      </c>
      <c r="J23" s="33">
        <f t="shared" si="5"/>
        <v>-3623.22</v>
      </c>
      <c r="L23" t="s">
        <v>113</v>
      </c>
      <c r="M23" s="18">
        <v>22388.67</v>
      </c>
      <c r="N23" s="18">
        <v>-18765.45</v>
      </c>
      <c r="O23" s="18">
        <v>-3077.99</v>
      </c>
      <c r="P23" s="18">
        <v>-321.55</v>
      </c>
      <c r="Q23" s="18">
        <v>-223.68</v>
      </c>
      <c r="R23" s="18">
        <v>0</v>
      </c>
      <c r="S23" s="17">
        <v>-2.2737367544323206E-12</v>
      </c>
      <c r="T23" s="31">
        <v>-18765.45</v>
      </c>
      <c r="U23" s="33">
        <v>-3623.22</v>
      </c>
      <c r="Z23" t="s">
        <v>91</v>
      </c>
      <c r="AA23" s="6">
        <f>SUM(AA20:AA22)</f>
        <v>-10.58</v>
      </c>
      <c r="AB23" s="6">
        <f>SUM(AB20:AB22)</f>
        <v>-91.38000000000001</v>
      </c>
      <c r="AC23" s="6">
        <f>SUM(AC20:AC22)</f>
        <v>-88.58</v>
      </c>
      <c r="AD23" s="6">
        <f>SUM(AD20:AD22)</f>
        <v>19.350000000000001</v>
      </c>
      <c r="AE23" s="6">
        <f>SUM(AE20:AE22)</f>
        <v>-171.19</v>
      </c>
    </row>
    <row r="24" spans="1:31">
      <c r="A24" t="s">
        <v>111</v>
      </c>
      <c r="B24" s="18">
        <f>-SUM(C24:G24)</f>
        <v>-613.89</v>
      </c>
      <c r="C24" s="18">
        <f>+$B$22*(-C23)/$B$23</f>
        <v>514.54249406061194</v>
      </c>
      <c r="D24" s="18">
        <f>+$B$22*(-D23)/$B$23</f>
        <v>84.39747788055297</v>
      </c>
      <c r="E24" s="18">
        <f>+$B$22*(-E23)/$B$23</f>
        <v>8.816795705149076</v>
      </c>
      <c r="F24" s="18">
        <f>+$B$22*(-F23)/$B$23</f>
        <v>6.1332323536860383</v>
      </c>
      <c r="G24" s="18">
        <f>+$B$22*(-G23)/$B$23</f>
        <v>0</v>
      </c>
      <c r="H24" s="17">
        <f>SUM(B24:G24)</f>
        <v>4.0856207306205761E-14</v>
      </c>
      <c r="I24" s="31">
        <f>+C24</f>
        <v>514.54249406061194</v>
      </c>
      <c r="J24" s="33">
        <f t="shared" si="5"/>
        <v>99.347505939388085</v>
      </c>
      <c r="L24" t="s">
        <v>111</v>
      </c>
      <c r="M24" s="18">
        <v>-613.89</v>
      </c>
      <c r="N24" s="18">
        <v>514.54249406061194</v>
      </c>
      <c r="O24" s="18">
        <v>84.39747788055297</v>
      </c>
      <c r="P24" s="18">
        <v>8.816795705149076</v>
      </c>
      <c r="Q24" s="18">
        <v>6.1332323536860383</v>
      </c>
      <c r="R24" s="18">
        <v>0</v>
      </c>
      <c r="S24" s="17">
        <v>4.0856207306205761E-14</v>
      </c>
      <c r="T24" s="31">
        <v>514.54249406061194</v>
      </c>
      <c r="U24" s="33">
        <v>99.347505939388085</v>
      </c>
    </row>
    <row r="25" spans="1:31">
      <c r="A25" s="15" t="s">
        <v>20</v>
      </c>
      <c r="B25" s="18">
        <f t="shared" ref="B25:G25" si="7">+B22+B24</f>
        <v>0</v>
      </c>
      <c r="C25" s="18">
        <f t="shared" si="7"/>
        <v>3888.9692052661994</v>
      </c>
      <c r="D25" s="18">
        <f t="shared" si="7"/>
        <v>727.99959676910453</v>
      </c>
      <c r="E25" s="18">
        <f t="shared" si="7"/>
        <v>4.8948969805818114</v>
      </c>
      <c r="F25" s="18">
        <f t="shared" si="7"/>
        <v>70.316300984114221</v>
      </c>
      <c r="G25" s="18">
        <f t="shared" si="7"/>
        <v>0</v>
      </c>
      <c r="H25" s="17">
        <f>SUM(B25:G25)</f>
        <v>4692.18</v>
      </c>
      <c r="I25" s="28">
        <f>+C25</f>
        <v>3888.9692052661994</v>
      </c>
      <c r="J25" s="29">
        <f>+D25+E25+F25</f>
        <v>803.21079473380064</v>
      </c>
      <c r="L25" s="15" t="s">
        <v>20</v>
      </c>
      <c r="M25" s="18">
        <v>0</v>
      </c>
      <c r="N25" s="18">
        <v>3888.9692052661994</v>
      </c>
      <c r="O25" s="18">
        <v>727.99959676910453</v>
      </c>
      <c r="P25" s="18">
        <v>4.8948969805818114</v>
      </c>
      <c r="Q25" s="18">
        <v>70.316300984114221</v>
      </c>
      <c r="R25" s="18">
        <v>0</v>
      </c>
      <c r="S25" s="17">
        <v>4692.18</v>
      </c>
      <c r="T25" s="28">
        <v>3888.9692052661994</v>
      </c>
      <c r="U25" s="29">
        <v>803.21079473380064</v>
      </c>
      <c r="Z25" s="3" t="s">
        <v>298</v>
      </c>
    </row>
    <row r="26" spans="1:31">
      <c r="A26" s="15" t="s">
        <v>245</v>
      </c>
      <c r="H26" s="17">
        <f>+I26+J26</f>
        <v>-514.41999999999996</v>
      </c>
      <c r="I26" s="12">
        <v>-421.81</v>
      </c>
      <c r="J26" s="12">
        <v>-92.61</v>
      </c>
      <c r="L26" s="15" t="s">
        <v>245</v>
      </c>
      <c r="S26" s="17">
        <v>-514.41999999999996</v>
      </c>
      <c r="T26" s="12">
        <v>-421.81</v>
      </c>
      <c r="U26" s="12">
        <v>-92.61</v>
      </c>
      <c r="AA26" t="s">
        <v>204</v>
      </c>
      <c r="AB26" t="s">
        <v>205</v>
      </c>
      <c r="AC26" t="s">
        <v>207</v>
      </c>
      <c r="AD26" t="s">
        <v>228</v>
      </c>
      <c r="AE26" t="s">
        <v>229</v>
      </c>
    </row>
    <row r="27" spans="1:31">
      <c r="A27" s="15" t="s">
        <v>300</v>
      </c>
      <c r="H27" s="17">
        <f>+I27+J27</f>
        <v>79.72</v>
      </c>
      <c r="I27" s="12">
        <f>43.43-9.52</f>
        <v>33.909999999999997</v>
      </c>
      <c r="J27" s="12">
        <f>46.87-1.06</f>
        <v>45.809999999999995</v>
      </c>
      <c r="L27" s="15" t="s">
        <v>300</v>
      </c>
      <c r="S27" s="17">
        <v>79.72</v>
      </c>
      <c r="T27" s="12">
        <v>33.909999999999997</v>
      </c>
      <c r="U27" s="12">
        <v>45.81</v>
      </c>
      <c r="Z27" t="s">
        <v>93</v>
      </c>
      <c r="AA27" s="6">
        <f>+AA20</f>
        <v>-9.52374267982748</v>
      </c>
      <c r="AB27" s="6">
        <f>+AB20</f>
        <v>-77.242201102471</v>
      </c>
      <c r="AC27" s="6">
        <f>+AC20</f>
        <v>-79.547151095905264</v>
      </c>
      <c r="AD27" s="6">
        <f>+AD20</f>
        <v>14.318008831512874</v>
      </c>
      <c r="AE27" s="6">
        <f>+AE20</f>
        <v>-151.99508604669086</v>
      </c>
    </row>
    <row r="28" spans="1:31">
      <c r="A28" s="15" t="s">
        <v>246</v>
      </c>
      <c r="H28" s="17">
        <f>+H25+H26+H27</f>
        <v>4257.4800000000005</v>
      </c>
      <c r="I28" s="28">
        <f>+I25+I26+I27</f>
        <v>3501.0692052661993</v>
      </c>
      <c r="J28" s="29">
        <f>+J25+J26+J27</f>
        <v>756.41079473380057</v>
      </c>
      <c r="L28" s="15" t="s">
        <v>246</v>
      </c>
      <c r="S28" s="17">
        <v>4257.4799999999996</v>
      </c>
      <c r="T28" s="28">
        <v>3501.0692052661993</v>
      </c>
      <c r="U28" s="29">
        <v>756.41079473380057</v>
      </c>
      <c r="Z28" t="s">
        <v>94</v>
      </c>
      <c r="AA28" s="6">
        <f>+AA21+AA22</f>
        <v>-1.0562573201725196</v>
      </c>
      <c r="AB28" s="6">
        <f>+AB21+AB22</f>
        <v>-14.137798897529006</v>
      </c>
      <c r="AC28" s="6">
        <f>+AC21+AC22</f>
        <v>-9.0328489040947293</v>
      </c>
      <c r="AD28" s="6">
        <f>+AD21+AD22</f>
        <v>5.031991168487127</v>
      </c>
      <c r="AE28" s="6">
        <f>+AE21+AE22</f>
        <v>-19.194913953309129</v>
      </c>
    </row>
    <row r="29" spans="1:31">
      <c r="Z29" t="s">
        <v>54</v>
      </c>
      <c r="AA29" s="6">
        <f>+AA27+AA28</f>
        <v>-10.58</v>
      </c>
      <c r="AB29" s="6">
        <f>+AB27+AB28</f>
        <v>-91.38000000000001</v>
      </c>
      <c r="AC29" s="6">
        <f>+AC27+AC28</f>
        <v>-88.58</v>
      </c>
      <c r="AD29" s="6">
        <f>+AD27+AD28</f>
        <v>19.350000000000001</v>
      </c>
      <c r="AE29" s="6">
        <f>+AE27+AE28</f>
        <v>-171.19</v>
      </c>
    </row>
    <row r="30" spans="1:31" ht="26">
      <c r="A30" s="38" t="s">
        <v>114</v>
      </c>
      <c r="L30" s="38" t="s">
        <v>114</v>
      </c>
      <c r="Z30" s="3" t="s">
        <v>299</v>
      </c>
    </row>
    <row r="31" spans="1:31">
      <c r="A31" s="15" t="s">
        <v>163</v>
      </c>
      <c r="G31" s="12">
        <f>90.3+124.23-90.3</f>
        <v>124.23</v>
      </c>
      <c r="L31" s="15" t="s">
        <v>163</v>
      </c>
      <c r="R31" s="12">
        <v>124.23</v>
      </c>
      <c r="AA31" t="s">
        <v>204</v>
      </c>
      <c r="AB31" t="s">
        <v>205</v>
      </c>
      <c r="AC31" t="s">
        <v>207</v>
      </c>
      <c r="AD31" t="s">
        <v>228</v>
      </c>
      <c r="AE31" s="6"/>
    </row>
    <row r="32" spans="1:31">
      <c r="A32" s="34" t="s">
        <v>116</v>
      </c>
      <c r="G32" s="12">
        <v>156.84</v>
      </c>
      <c r="L32" s="34" t="s">
        <v>116</v>
      </c>
      <c r="R32" s="12">
        <v>156.84</v>
      </c>
      <c r="Z32" t="s">
        <v>93</v>
      </c>
      <c r="AA32" s="6">
        <f>+AA27</f>
        <v>-9.52374267982748</v>
      </c>
      <c r="AB32" s="6">
        <f>+AA32+AB27</f>
        <v>-86.765943782298478</v>
      </c>
      <c r="AC32" s="6">
        <f>+AB32+AC27</f>
        <v>-166.31309487820374</v>
      </c>
      <c r="AD32" s="6">
        <f>+AC32+AD27</f>
        <v>-151.99508604669086</v>
      </c>
      <c r="AE32" s="6"/>
    </row>
    <row r="33" spans="1:31">
      <c r="A33" s="34" t="s">
        <v>117</v>
      </c>
      <c r="G33" s="12">
        <v>158.13</v>
      </c>
      <c r="L33" s="34" t="s">
        <v>117</v>
      </c>
      <c r="R33" s="12">
        <v>158.13</v>
      </c>
      <c r="Z33" t="s">
        <v>94</v>
      </c>
      <c r="AA33" s="6">
        <f>+AA28</f>
        <v>-1.0562573201725196</v>
      </c>
      <c r="AB33" s="6">
        <f>+AB28+AA33</f>
        <v>-15.194056217701526</v>
      </c>
      <c r="AC33" s="6">
        <f>+AC28+AB33</f>
        <v>-24.226905121796257</v>
      </c>
      <c r="AD33" s="6">
        <f>+AD28+AC33</f>
        <v>-19.194913953309129</v>
      </c>
      <c r="AE33" s="6"/>
    </row>
    <row r="34" spans="1:31">
      <c r="A34" s="34" t="s">
        <v>119</v>
      </c>
      <c r="G34" s="12"/>
      <c r="L34" s="34" t="s">
        <v>119</v>
      </c>
      <c r="R34" s="12"/>
      <c r="Z34" t="s">
        <v>54</v>
      </c>
      <c r="AA34" s="6">
        <f>+AA32+AA33</f>
        <v>-10.58</v>
      </c>
      <c r="AB34" s="6">
        <f>+AB32+AB33</f>
        <v>-101.96000000000001</v>
      </c>
      <c r="AC34" s="6">
        <f>+AC32+AC33</f>
        <v>-190.54</v>
      </c>
      <c r="AD34" s="6">
        <f>+AD32+AD33</f>
        <v>-171.19</v>
      </c>
      <c r="AE34" s="6"/>
    </row>
    <row r="35" spans="1:31">
      <c r="A35" s="34" t="s">
        <v>24</v>
      </c>
      <c r="G35" s="12"/>
      <c r="H35" s="6">
        <f>SUM(G31:G35)</f>
        <v>439.2</v>
      </c>
      <c r="L35" s="34" t="s">
        <v>24</v>
      </c>
      <c r="R35" s="12"/>
      <c r="S35" s="6">
        <v>439.2</v>
      </c>
    </row>
    <row r="36" spans="1:31">
      <c r="A36" s="3" t="s">
        <v>120</v>
      </c>
      <c r="H36" s="6"/>
      <c r="L36" s="3" t="s">
        <v>120</v>
      </c>
      <c r="S36" s="6"/>
    </row>
    <row r="37" spans="1:31">
      <c r="A37" s="36" t="s">
        <v>123</v>
      </c>
      <c r="G37" s="18">
        <v>13.83</v>
      </c>
      <c r="H37" s="6"/>
      <c r="L37" s="36" t="s">
        <v>123</v>
      </c>
      <c r="R37" s="18">
        <v>13.83</v>
      </c>
      <c r="S37" s="6"/>
    </row>
    <row r="38" spans="1:31">
      <c r="A38" s="34" t="s">
        <v>124</v>
      </c>
      <c r="G38" s="18">
        <v>0</v>
      </c>
      <c r="H38" s="6"/>
      <c r="L38" s="34" t="s">
        <v>124</v>
      </c>
      <c r="R38" s="18">
        <v>0</v>
      </c>
      <c r="S38" s="6"/>
    </row>
    <row r="39" spans="1:31">
      <c r="A39" s="34" t="s">
        <v>121</v>
      </c>
      <c r="G39" s="12">
        <v>0</v>
      </c>
      <c r="H39" s="6"/>
      <c r="L39" s="34" t="s">
        <v>121</v>
      </c>
      <c r="R39" s="12">
        <v>0</v>
      </c>
      <c r="S39" s="6"/>
    </row>
    <row r="40" spans="1:31">
      <c r="A40" s="34" t="s">
        <v>125</v>
      </c>
      <c r="G40" s="12">
        <v>0</v>
      </c>
      <c r="H40" s="6"/>
      <c r="L40" s="34" t="s">
        <v>125</v>
      </c>
      <c r="R40" s="12">
        <v>0</v>
      </c>
      <c r="S40" s="6"/>
    </row>
    <row r="41" spans="1:31">
      <c r="A41" s="34" t="s">
        <v>196</v>
      </c>
      <c r="G41" s="18">
        <v>0.5</v>
      </c>
      <c r="H41" s="6">
        <f>SUM(G37:G41)</f>
        <v>14.33</v>
      </c>
      <c r="J41" s="6"/>
      <c r="L41" s="34" t="s">
        <v>196</v>
      </c>
      <c r="R41" s="18">
        <v>0.5</v>
      </c>
      <c r="S41" s="6">
        <v>14.33</v>
      </c>
      <c r="U41" s="6"/>
    </row>
    <row r="42" spans="1:31" ht="26">
      <c r="A42" s="35" t="s">
        <v>114</v>
      </c>
      <c r="H42" s="4">
        <f>SUM(G31:G41)</f>
        <v>453.53</v>
      </c>
      <c r="I42">
        <f>SUM(G31:G35)</f>
        <v>439.2</v>
      </c>
      <c r="L42" s="35" t="s">
        <v>114</v>
      </c>
      <c r="S42" s="4">
        <v>453.53</v>
      </c>
      <c r="T42">
        <v>439.2</v>
      </c>
    </row>
    <row r="43" spans="1:31" ht="13">
      <c r="A43" s="35"/>
      <c r="H43" s="6"/>
      <c r="L43" s="35"/>
      <c r="S43" s="6"/>
    </row>
    <row r="44" spans="1:31">
      <c r="A44" s="5" t="s">
        <v>118</v>
      </c>
      <c r="H44" s="4">
        <v>-80.760000000000005</v>
      </c>
      <c r="I44">
        <f>+H44</f>
        <v>-80.760000000000005</v>
      </c>
      <c r="L44" s="5" t="s">
        <v>118</v>
      </c>
      <c r="S44" s="4">
        <v>-80.760000000000005</v>
      </c>
      <c r="T44">
        <v>-80.760000000000005</v>
      </c>
    </row>
    <row r="45" spans="1:31" ht="13">
      <c r="A45" s="35" t="s">
        <v>126</v>
      </c>
      <c r="G45" s="3" t="s">
        <v>130</v>
      </c>
      <c r="H45" s="6">
        <f>+H28+H42+H44</f>
        <v>4630.25</v>
      </c>
      <c r="I45" s="6">
        <f>+H25+I42+I44</f>
        <v>5050.62</v>
      </c>
      <c r="J45" s="3" t="s">
        <v>131</v>
      </c>
      <c r="L45" s="35" t="s">
        <v>126</v>
      </c>
      <c r="R45" s="3" t="s">
        <v>130</v>
      </c>
      <c r="S45" s="6">
        <v>4630.25</v>
      </c>
      <c r="T45" s="6">
        <v>5050.62</v>
      </c>
      <c r="U45" s="3" t="s">
        <v>131</v>
      </c>
    </row>
    <row r="46" spans="1:31" ht="13">
      <c r="A46" s="35"/>
      <c r="H46" s="6"/>
    </row>
    <row r="47" spans="1:31">
      <c r="S47">
        <v>4630.25</v>
      </c>
    </row>
    <row r="48" spans="1:31">
      <c r="H48" s="6"/>
    </row>
    <row r="50" spans="1:2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</row>
    <row r="54" spans="1:21">
      <c r="A54" s="3" t="s">
        <v>95</v>
      </c>
      <c r="L54" s="3" t="s">
        <v>95</v>
      </c>
    </row>
    <row r="55" spans="1:21">
      <c r="A55" s="3" t="s">
        <v>127</v>
      </c>
      <c r="L55" s="3" t="s">
        <v>127</v>
      </c>
    </row>
    <row r="56" spans="1:21">
      <c r="A56" s="3"/>
      <c r="B56" s="3" t="s">
        <v>129</v>
      </c>
      <c r="C56" s="122" t="s">
        <v>191</v>
      </c>
      <c r="L56" s="3"/>
      <c r="M56" s="3" t="s">
        <v>92</v>
      </c>
      <c r="N56" s="122" t="str">
        <f>+C56</f>
        <v>June 05</v>
      </c>
    </row>
    <row r="57" spans="1:21">
      <c r="A57" s="3" t="s">
        <v>158</v>
      </c>
      <c r="B57" s="3" t="s">
        <v>97</v>
      </c>
      <c r="C57" s="3" t="s">
        <v>93</v>
      </c>
      <c r="D57" s="3" t="s">
        <v>98</v>
      </c>
      <c r="E57" s="3" t="s">
        <v>99</v>
      </c>
      <c r="F57" s="3" t="s">
        <v>100</v>
      </c>
      <c r="G57" s="3" t="s">
        <v>102</v>
      </c>
      <c r="H57" s="3" t="s">
        <v>91</v>
      </c>
      <c r="I57" s="3" t="s">
        <v>93</v>
      </c>
      <c r="J57" s="3" t="s">
        <v>94</v>
      </c>
      <c r="L57" s="3" t="s">
        <v>159</v>
      </c>
      <c r="M57" s="3" t="s">
        <v>97</v>
      </c>
      <c r="N57" s="3" t="s">
        <v>93</v>
      </c>
      <c r="O57" s="3" t="s">
        <v>98</v>
      </c>
      <c r="P57" s="3" t="s">
        <v>99</v>
      </c>
      <c r="Q57" s="3" t="s">
        <v>100</v>
      </c>
      <c r="R57" s="3" t="s">
        <v>102</v>
      </c>
      <c r="S57" s="3" t="s">
        <v>91</v>
      </c>
      <c r="T57" s="3" t="s">
        <v>93</v>
      </c>
      <c r="U57" s="3" t="s">
        <v>94</v>
      </c>
    </row>
    <row r="59" spans="1:21">
      <c r="A59" s="3" t="s">
        <v>17</v>
      </c>
      <c r="L59" s="3" t="s">
        <v>17</v>
      </c>
    </row>
    <row r="61" spans="1:21">
      <c r="A61" t="s">
        <v>101</v>
      </c>
      <c r="B61" s="12">
        <f t="shared" ref="B61:J67" si="8">+M61-M8</f>
        <v>0</v>
      </c>
      <c r="C61" s="12">
        <f t="shared" si="8"/>
        <v>53509</v>
      </c>
      <c r="D61" s="12">
        <f t="shared" si="8"/>
        <v>8454</v>
      </c>
      <c r="E61" s="12">
        <f t="shared" si="8"/>
        <v>672</v>
      </c>
      <c r="F61" s="12">
        <f t="shared" si="8"/>
        <v>347</v>
      </c>
      <c r="G61" s="12">
        <f t="shared" si="8"/>
        <v>0</v>
      </c>
      <c r="H61" s="12">
        <f t="shared" si="8"/>
        <v>62982</v>
      </c>
      <c r="I61" s="12">
        <f t="shared" si="8"/>
        <v>53509</v>
      </c>
      <c r="J61" s="12">
        <f t="shared" si="8"/>
        <v>9473</v>
      </c>
      <c r="L61" t="s">
        <v>101</v>
      </c>
      <c r="M61" s="12">
        <v>0</v>
      </c>
      <c r="N61" s="12">
        <v>96989</v>
      </c>
      <c r="O61" s="12">
        <v>16296</v>
      </c>
      <c r="P61" s="12">
        <v>1498</v>
      </c>
      <c r="Q61" s="12">
        <v>887</v>
      </c>
      <c r="R61" s="12">
        <v>0</v>
      </c>
      <c r="S61" s="16">
        <f>SUM(M61:R61)</f>
        <v>115670</v>
      </c>
      <c r="T61" s="30">
        <f>+N61</f>
        <v>96989</v>
      </c>
      <c r="U61" s="32">
        <f t="shared" ref="U61:U67" si="9">+O61+P61+Q61</f>
        <v>18681</v>
      </c>
    </row>
    <row r="62" spans="1:21">
      <c r="A62" t="s">
        <v>103</v>
      </c>
      <c r="B62" s="18">
        <f t="shared" si="8"/>
        <v>0</v>
      </c>
      <c r="C62" s="18">
        <f t="shared" si="8"/>
        <v>41020.290000000008</v>
      </c>
      <c r="D62" s="18">
        <f t="shared" si="8"/>
        <v>5807.26</v>
      </c>
      <c r="E62" s="18">
        <f t="shared" si="8"/>
        <v>421.88</v>
      </c>
      <c r="F62" s="18">
        <f t="shared" si="8"/>
        <v>265.11999999999995</v>
      </c>
      <c r="G62" s="18">
        <f t="shared" si="8"/>
        <v>0</v>
      </c>
      <c r="H62" s="18">
        <f t="shared" si="8"/>
        <v>47514.550000000017</v>
      </c>
      <c r="I62" s="18">
        <f t="shared" si="8"/>
        <v>41020.290000000008</v>
      </c>
      <c r="J62" s="18">
        <f t="shared" si="8"/>
        <v>6494.2599999999993</v>
      </c>
      <c r="L62" t="s">
        <v>103</v>
      </c>
      <c r="M62" s="18">
        <v>0</v>
      </c>
      <c r="N62" s="18">
        <v>73216.13</v>
      </c>
      <c r="O62" s="18">
        <v>11049.24</v>
      </c>
      <c r="P62" s="18">
        <v>874.66</v>
      </c>
      <c r="Q62" s="18">
        <v>634.41</v>
      </c>
      <c r="R62" s="18">
        <v>0</v>
      </c>
      <c r="S62" s="17">
        <f>SUM(M62:R62)</f>
        <v>85774.440000000017</v>
      </c>
      <c r="T62" s="31">
        <f>+N62</f>
        <v>73216.13</v>
      </c>
      <c r="U62" s="33">
        <f t="shared" si="9"/>
        <v>12558.31</v>
      </c>
    </row>
    <row r="63" spans="1:21">
      <c r="A63" t="s">
        <v>104</v>
      </c>
      <c r="B63" s="18">
        <f t="shared" si="8"/>
        <v>0</v>
      </c>
      <c r="C63" s="18">
        <f t="shared" si="8"/>
        <v>-1407.45</v>
      </c>
      <c r="D63" s="18">
        <f t="shared" si="8"/>
        <v>-0.77</v>
      </c>
      <c r="E63" s="18">
        <f t="shared" si="8"/>
        <v>-2.88</v>
      </c>
      <c r="F63" s="18">
        <f t="shared" si="8"/>
        <v>-0.06</v>
      </c>
      <c r="G63" s="18">
        <f t="shared" si="8"/>
        <v>0</v>
      </c>
      <c r="H63" s="18">
        <f t="shared" si="8"/>
        <v>-1411.1599999999999</v>
      </c>
      <c r="I63" s="18">
        <f t="shared" si="8"/>
        <v>-1407.45</v>
      </c>
      <c r="J63" s="18">
        <f t="shared" si="8"/>
        <v>-3.71</v>
      </c>
      <c r="L63" t="s">
        <v>104</v>
      </c>
      <c r="M63" s="18">
        <v>0</v>
      </c>
      <c r="N63" s="18">
        <v>-2303.65</v>
      </c>
      <c r="O63" s="18">
        <v>-0.77</v>
      </c>
      <c r="P63" s="18">
        <v>-5.79</v>
      </c>
      <c r="Q63" s="18">
        <v>0.19</v>
      </c>
      <c r="R63" s="18">
        <v>0</v>
      </c>
      <c r="S63" s="17">
        <f>SUM(M63:R63)</f>
        <v>-2310.02</v>
      </c>
      <c r="T63" s="31">
        <f>+N63</f>
        <v>-2303.65</v>
      </c>
      <c r="U63" s="33">
        <f t="shared" si="9"/>
        <v>-6.37</v>
      </c>
    </row>
    <row r="64" spans="1:21">
      <c r="A64" t="s">
        <v>105</v>
      </c>
      <c r="B64" s="18">
        <f t="shared" si="8"/>
        <v>0</v>
      </c>
      <c r="C64" s="18">
        <f t="shared" si="8"/>
        <v>39612.840000000011</v>
      </c>
      <c r="D64" s="18">
        <f t="shared" si="8"/>
        <v>5806.49</v>
      </c>
      <c r="E64" s="18">
        <f t="shared" si="8"/>
        <v>419</v>
      </c>
      <c r="F64" s="18">
        <f t="shared" si="8"/>
        <v>265.06</v>
      </c>
      <c r="G64" s="18">
        <f t="shared" si="8"/>
        <v>0</v>
      </c>
      <c r="H64" s="18">
        <f t="shared" si="8"/>
        <v>46103.390000000014</v>
      </c>
      <c r="I64" s="18">
        <f t="shared" si="8"/>
        <v>39612.840000000011</v>
      </c>
      <c r="J64" s="18">
        <f t="shared" si="8"/>
        <v>6490.55</v>
      </c>
      <c r="L64" t="s">
        <v>105</v>
      </c>
      <c r="M64" s="17">
        <f t="shared" ref="M64:T64" si="10">+M62+M63</f>
        <v>0</v>
      </c>
      <c r="N64" s="17">
        <f t="shared" si="10"/>
        <v>70912.48000000001</v>
      </c>
      <c r="O64" s="17">
        <f t="shared" si="10"/>
        <v>11048.47</v>
      </c>
      <c r="P64" s="17">
        <f t="shared" si="10"/>
        <v>868.87</v>
      </c>
      <c r="Q64" s="17">
        <f t="shared" si="10"/>
        <v>634.6</v>
      </c>
      <c r="R64" s="17">
        <f t="shared" si="10"/>
        <v>0</v>
      </c>
      <c r="S64" s="17">
        <f t="shared" si="10"/>
        <v>83464.420000000013</v>
      </c>
      <c r="T64" s="31">
        <f t="shared" si="10"/>
        <v>70912.48000000001</v>
      </c>
      <c r="U64" s="33">
        <f t="shared" si="9"/>
        <v>12551.94</v>
      </c>
    </row>
    <row r="65" spans="1:21">
      <c r="A65" t="s">
        <v>106</v>
      </c>
      <c r="B65" s="18">
        <f t="shared" si="8"/>
        <v>0</v>
      </c>
      <c r="C65" s="18">
        <f t="shared" si="8"/>
        <v>-5740.8799999999992</v>
      </c>
      <c r="D65" s="18">
        <f t="shared" si="8"/>
        <v>-793.57</v>
      </c>
      <c r="E65" s="18">
        <f t="shared" si="8"/>
        <v>-60.139999999999986</v>
      </c>
      <c r="F65" s="18">
        <f t="shared" si="8"/>
        <v>-25.660000000000004</v>
      </c>
      <c r="G65" s="18">
        <f t="shared" si="8"/>
        <v>0</v>
      </c>
      <c r="H65" s="18">
        <f t="shared" si="8"/>
        <v>-6620.25</v>
      </c>
      <c r="I65" s="18">
        <f t="shared" si="8"/>
        <v>-5740.8799999999992</v>
      </c>
      <c r="J65" s="18">
        <f t="shared" si="8"/>
        <v>-879.36999999999989</v>
      </c>
      <c r="L65" t="s">
        <v>106</v>
      </c>
      <c r="M65" s="18">
        <v>0</v>
      </c>
      <c r="N65" s="18">
        <v>-10347.89</v>
      </c>
      <c r="O65" s="18">
        <v>-1516.41</v>
      </c>
      <c r="P65" s="18">
        <v>-132.32</v>
      </c>
      <c r="Q65" s="18">
        <v>-65.37</v>
      </c>
      <c r="R65" s="18">
        <v>0</v>
      </c>
      <c r="S65" s="17">
        <f>SUM(M65:R65)</f>
        <v>-12061.99</v>
      </c>
      <c r="T65" s="31">
        <f>+N65</f>
        <v>-10347.89</v>
      </c>
      <c r="U65" s="33">
        <f t="shared" si="9"/>
        <v>-1714.1</v>
      </c>
    </row>
    <row r="66" spans="1:21">
      <c r="A66" t="s">
        <v>107</v>
      </c>
      <c r="B66" s="18">
        <f t="shared" si="8"/>
        <v>0</v>
      </c>
      <c r="C66" s="18">
        <f t="shared" si="8"/>
        <v>-5683.2640213248696</v>
      </c>
      <c r="D66" s="18">
        <f t="shared" si="8"/>
        <v>-785.53328899066128</v>
      </c>
      <c r="E66" s="18">
        <f t="shared" si="8"/>
        <v>-59.516303103778654</v>
      </c>
      <c r="F66" s="18">
        <f t="shared" si="8"/>
        <v>-25.386386580691358</v>
      </c>
      <c r="G66" s="18">
        <f t="shared" si="8"/>
        <v>0</v>
      </c>
      <c r="H66" s="18">
        <f t="shared" si="8"/>
        <v>-6553.7</v>
      </c>
      <c r="I66" s="18">
        <f t="shared" si="8"/>
        <v>-5683.2640213248696</v>
      </c>
      <c r="J66" s="18">
        <f t="shared" si="8"/>
        <v>-870.43597867513131</v>
      </c>
      <c r="L66" t="s">
        <v>107</v>
      </c>
      <c r="M66" s="17">
        <f t="shared" ref="M66:R66" si="11">+M65*$S$66/$S$65</f>
        <v>0</v>
      </c>
      <c r="N66" s="17">
        <f t="shared" si="11"/>
        <v>-10251.025364902474</v>
      </c>
      <c r="O66" s="17">
        <f t="shared" si="11"/>
        <v>-1502.2151736819549</v>
      </c>
      <c r="P66" s="17">
        <f t="shared" si="11"/>
        <v>-131.08137758363253</v>
      </c>
      <c r="Q66" s="17">
        <f t="shared" si="11"/>
        <v>-64.758083831938194</v>
      </c>
      <c r="R66" s="17">
        <f t="shared" si="11"/>
        <v>0</v>
      </c>
      <c r="S66" s="18">
        <v>-11949.08</v>
      </c>
      <c r="T66" s="31">
        <f>+N66</f>
        <v>-10251.025364902474</v>
      </c>
      <c r="U66" s="33">
        <f t="shared" si="9"/>
        <v>-1698.0546350975255</v>
      </c>
    </row>
    <row r="67" spans="1:21">
      <c r="A67" t="s">
        <v>39</v>
      </c>
      <c r="B67" s="18">
        <f t="shared" si="8"/>
        <v>0</v>
      </c>
      <c r="C67" s="18">
        <f t="shared" si="8"/>
        <v>33929.575978675144</v>
      </c>
      <c r="D67" s="18">
        <f t="shared" si="8"/>
        <v>5020.9567110093394</v>
      </c>
      <c r="E67" s="18">
        <f t="shared" si="8"/>
        <v>359.48369689622143</v>
      </c>
      <c r="F67" s="18">
        <f t="shared" si="8"/>
        <v>239.67361341930865</v>
      </c>
      <c r="G67" s="18">
        <f t="shared" si="8"/>
        <v>0</v>
      </c>
      <c r="H67" s="18">
        <f t="shared" si="8"/>
        <v>39549.69000000001</v>
      </c>
      <c r="I67" s="18">
        <f t="shared" si="8"/>
        <v>33929.575978675144</v>
      </c>
      <c r="J67" s="18">
        <f t="shared" si="8"/>
        <v>5620.1140213248682</v>
      </c>
      <c r="L67" t="s">
        <v>39</v>
      </c>
      <c r="M67" s="6">
        <f t="shared" ref="M67:R67" si="12">+M64+M66</f>
        <v>0</v>
      </c>
      <c r="N67" s="6">
        <f t="shared" si="12"/>
        <v>60661.454635097536</v>
      </c>
      <c r="O67" s="6">
        <f t="shared" si="12"/>
        <v>9546.2548263180452</v>
      </c>
      <c r="P67" s="6">
        <f t="shared" si="12"/>
        <v>737.7886224163675</v>
      </c>
      <c r="Q67" s="6">
        <f t="shared" si="12"/>
        <v>569.84191616806186</v>
      </c>
      <c r="R67" s="6">
        <f t="shared" si="12"/>
        <v>0</v>
      </c>
      <c r="S67" s="17">
        <f>SUM(M67:R67)</f>
        <v>71515.340000000011</v>
      </c>
      <c r="T67" s="28">
        <f>+N67</f>
        <v>60661.454635097536</v>
      </c>
      <c r="U67" s="29">
        <f t="shared" si="9"/>
        <v>10853.885364902473</v>
      </c>
    </row>
    <row r="70" spans="1:21">
      <c r="A70" s="3" t="s">
        <v>20</v>
      </c>
      <c r="L70" s="3" t="s">
        <v>20</v>
      </c>
    </row>
    <row r="72" spans="1:21">
      <c r="A72" t="s">
        <v>108</v>
      </c>
      <c r="B72" s="18">
        <f t="shared" ref="B72:J78" si="13">+M72-M19</f>
        <v>3272.41</v>
      </c>
      <c r="C72" s="18">
        <f t="shared" si="13"/>
        <v>10643.11</v>
      </c>
      <c r="D72" s="18">
        <f t="shared" si="13"/>
        <v>1596.9299999999998</v>
      </c>
      <c r="E72" s="18">
        <f t="shared" si="13"/>
        <v>82.859999999999985</v>
      </c>
      <c r="F72" s="18">
        <f t="shared" si="13"/>
        <v>83.320000000000007</v>
      </c>
      <c r="G72" s="18">
        <f t="shared" si="13"/>
        <v>0</v>
      </c>
      <c r="H72" s="18">
        <f t="shared" si="13"/>
        <v>15678.630000000001</v>
      </c>
      <c r="I72" s="18">
        <f t="shared" si="13"/>
        <v>10643.11</v>
      </c>
      <c r="J72" s="18">
        <f t="shared" si="13"/>
        <v>1763.1100000000001</v>
      </c>
      <c r="L72" t="s">
        <v>156</v>
      </c>
      <c r="M72" s="18">
        <v>6132.7</v>
      </c>
      <c r="N72" s="18">
        <v>17953.490000000002</v>
      </c>
      <c r="O72" s="18">
        <v>2988.12</v>
      </c>
      <c r="P72" s="18">
        <v>135.26</v>
      </c>
      <c r="Q72" s="18">
        <v>189.06</v>
      </c>
      <c r="R72" s="18">
        <v>0</v>
      </c>
      <c r="S72" s="17">
        <f>SUM(M72:R72)</f>
        <v>27398.63</v>
      </c>
      <c r="T72" s="31">
        <f>+N72</f>
        <v>17953.490000000002</v>
      </c>
      <c r="U72" s="33">
        <f t="shared" ref="U72:U77" si="14">+O72+P72+Q72</f>
        <v>3312.44</v>
      </c>
    </row>
    <row r="73" spans="1:21">
      <c r="A73" t="s">
        <v>109</v>
      </c>
      <c r="B73" s="18">
        <f t="shared" si="13"/>
        <v>-2520.44</v>
      </c>
      <c r="C73" s="18">
        <f t="shared" si="13"/>
        <v>-4314.17</v>
      </c>
      <c r="D73" s="18">
        <f t="shared" si="13"/>
        <v>-840.13000000000011</v>
      </c>
      <c r="E73" s="18">
        <f t="shared" si="13"/>
        <v>-79.140000000000015</v>
      </c>
      <c r="F73" s="18">
        <f t="shared" si="13"/>
        <v>-43.25</v>
      </c>
      <c r="G73" s="18">
        <f t="shared" si="13"/>
        <v>-56.95</v>
      </c>
      <c r="H73" s="18">
        <f t="shared" si="13"/>
        <v>-7854.0800000000017</v>
      </c>
      <c r="I73" s="18">
        <f t="shared" si="13"/>
        <v>-4314.17</v>
      </c>
      <c r="J73" s="18">
        <f t="shared" si="13"/>
        <v>-962.52000000000021</v>
      </c>
      <c r="L73" t="s">
        <v>109</v>
      </c>
      <c r="M73" s="18">
        <v>-4766.84</v>
      </c>
      <c r="N73" s="18">
        <f>-8370.28+25+150-10</f>
        <v>-8205.2800000000007</v>
      </c>
      <c r="O73" s="18">
        <v>-1579.63</v>
      </c>
      <c r="P73" s="18">
        <v>-134.61000000000001</v>
      </c>
      <c r="Q73" s="18">
        <v>-84.25</v>
      </c>
      <c r="R73" s="18">
        <v>-111.29</v>
      </c>
      <c r="S73" s="17">
        <f>SUM(M73:R73)</f>
        <v>-14881.900000000001</v>
      </c>
      <c r="T73" s="31">
        <f>+N73</f>
        <v>-8205.2800000000007</v>
      </c>
      <c r="U73" s="33">
        <f t="shared" si="14"/>
        <v>-1798.4900000000002</v>
      </c>
    </row>
    <row r="74" spans="1:21">
      <c r="A74" t="s">
        <v>110</v>
      </c>
      <c r="B74" s="18">
        <f t="shared" si="13"/>
        <v>0</v>
      </c>
      <c r="C74" s="18">
        <f t="shared" si="13"/>
        <v>-48.473092376159066</v>
      </c>
      <c r="D74" s="18">
        <f t="shared" si="13"/>
        <v>-7.5910489482039321</v>
      </c>
      <c r="E74" s="18">
        <f t="shared" si="13"/>
        <v>-0.58937749225645875</v>
      </c>
      <c r="F74" s="18">
        <f t="shared" si="13"/>
        <v>-0.29648118338054552</v>
      </c>
      <c r="G74" s="18">
        <f t="shared" si="13"/>
        <v>56.95</v>
      </c>
      <c r="H74" s="18">
        <f t="shared" si="13"/>
        <v>0</v>
      </c>
      <c r="I74" s="18">
        <f t="shared" si="13"/>
        <v>-48.473092376159066</v>
      </c>
      <c r="J74" s="18">
        <f t="shared" si="13"/>
        <v>-8.4769076238409351</v>
      </c>
      <c r="L74" t="s">
        <v>110</v>
      </c>
      <c r="M74" s="17">
        <v>0</v>
      </c>
      <c r="N74" s="17">
        <f>+N61*$R$73/$S$61</f>
        <v>-93.316381170571461</v>
      </c>
      <c r="O74" s="17">
        <f>+O61*$R$73/$S$61</f>
        <v>-15.67893005965246</v>
      </c>
      <c r="P74" s="17">
        <f>+P61*$R$73/$S$61</f>
        <v>-1.4412762168237228</v>
      </c>
      <c r="Q74" s="17">
        <f>+Q61*$R$73/$S$61</f>
        <v>-0.85341255295236462</v>
      </c>
      <c r="R74" s="17">
        <f>-SUM(M74:Q74)</f>
        <v>111.29</v>
      </c>
      <c r="S74" s="17">
        <f>SUM(M74:R74)</f>
        <v>0</v>
      </c>
      <c r="T74" s="31">
        <f>+N74</f>
        <v>-93.316381170571461</v>
      </c>
      <c r="U74" s="33">
        <f t="shared" si="14"/>
        <v>-17.973618829428545</v>
      </c>
    </row>
    <row r="75" spans="1:21">
      <c r="A75" t="s">
        <v>112</v>
      </c>
      <c r="B75" s="18">
        <f t="shared" si="13"/>
        <v>751.96999999999969</v>
      </c>
      <c r="C75" s="18">
        <f t="shared" si="13"/>
        <v>6280.4669076238424</v>
      </c>
      <c r="D75" s="18">
        <f t="shared" si="13"/>
        <v>749.20895105179579</v>
      </c>
      <c r="E75" s="18">
        <f t="shared" si="13"/>
        <v>3.130622507743519</v>
      </c>
      <c r="F75" s="18">
        <f t="shared" si="13"/>
        <v>39.773518816619458</v>
      </c>
      <c r="G75" s="18">
        <f t="shared" si="13"/>
        <v>0</v>
      </c>
      <c r="H75" s="18">
        <f t="shared" si="13"/>
        <v>7824.5499999999993</v>
      </c>
      <c r="I75" s="18">
        <f t="shared" si="13"/>
        <v>6280.4669076238424</v>
      </c>
      <c r="J75" s="18">
        <f t="shared" si="13"/>
        <v>792.11309237615887</v>
      </c>
      <c r="L75" t="s">
        <v>112</v>
      </c>
      <c r="M75" s="17">
        <f t="shared" ref="M75:T75" si="15">SUM(M72:M74)</f>
        <v>1365.8599999999997</v>
      </c>
      <c r="N75" s="17">
        <f t="shared" si="15"/>
        <v>9654.8936188294301</v>
      </c>
      <c r="O75" s="17">
        <f t="shared" si="15"/>
        <v>1392.8110699403474</v>
      </c>
      <c r="P75" s="17">
        <f t="shared" si="15"/>
        <v>-0.79127621682374549</v>
      </c>
      <c r="Q75" s="17">
        <f t="shared" si="15"/>
        <v>103.95658744704764</v>
      </c>
      <c r="R75" s="17">
        <f t="shared" si="15"/>
        <v>0</v>
      </c>
      <c r="S75" s="17">
        <f t="shared" si="15"/>
        <v>12516.73</v>
      </c>
      <c r="T75" s="31">
        <f t="shared" si="15"/>
        <v>9654.8936188294301</v>
      </c>
      <c r="U75" s="33">
        <f t="shared" si="14"/>
        <v>1495.9763811705714</v>
      </c>
    </row>
    <row r="76" spans="1:21">
      <c r="A76" t="s">
        <v>113</v>
      </c>
      <c r="B76" s="18">
        <f t="shared" si="13"/>
        <v>26426.700000000004</v>
      </c>
      <c r="C76" s="18">
        <f t="shared" si="13"/>
        <v>-22626.399999999998</v>
      </c>
      <c r="D76" s="18">
        <f t="shared" si="13"/>
        <v>-3371.16</v>
      </c>
      <c r="E76" s="18">
        <f t="shared" si="13"/>
        <v>-272.7</v>
      </c>
      <c r="F76" s="18">
        <f t="shared" si="13"/>
        <v>-156.44</v>
      </c>
      <c r="G76" s="18">
        <f t="shared" si="13"/>
        <v>0</v>
      </c>
      <c r="H76" s="18">
        <f t="shared" si="13"/>
        <v>6.7075234255753458E-12</v>
      </c>
      <c r="I76" s="18">
        <f t="shared" si="13"/>
        <v>-22626.399999999998</v>
      </c>
      <c r="J76" s="18">
        <f t="shared" si="13"/>
        <v>-3800.2999999999997</v>
      </c>
      <c r="L76" t="s">
        <v>113</v>
      </c>
      <c r="M76" s="18">
        <v>48815.37</v>
      </c>
      <c r="N76" s="18">
        <v>-41391.85</v>
      </c>
      <c r="O76" s="18">
        <v>-6449.15</v>
      </c>
      <c r="P76" s="18">
        <v>-594.25</v>
      </c>
      <c r="Q76" s="18">
        <v>-380.12</v>
      </c>
      <c r="R76" s="18">
        <v>0</v>
      </c>
      <c r="S76" s="17">
        <f>SUM(M76:R76)</f>
        <v>4.4337866711430252E-12</v>
      </c>
      <c r="T76" s="31">
        <f>+N76</f>
        <v>-41391.85</v>
      </c>
      <c r="U76" s="33">
        <f t="shared" si="14"/>
        <v>-7423.5199999999995</v>
      </c>
    </row>
    <row r="77" spans="1:21">
      <c r="A77" t="s">
        <v>111</v>
      </c>
      <c r="B77" s="18">
        <f t="shared" si="13"/>
        <v>-751.96999999999946</v>
      </c>
      <c r="C77" s="18">
        <f t="shared" si="13"/>
        <v>643.60651189796181</v>
      </c>
      <c r="D77" s="18">
        <f t="shared" si="13"/>
        <v>96.05052484891516</v>
      </c>
      <c r="E77" s="18">
        <f t="shared" si="13"/>
        <v>7.8103916950488497</v>
      </c>
      <c r="F77" s="18">
        <f t="shared" si="13"/>
        <v>4.5025715580737184</v>
      </c>
      <c r="G77" s="18">
        <f t="shared" si="13"/>
        <v>0</v>
      </c>
      <c r="H77" s="18">
        <f t="shared" si="13"/>
        <v>7.815970093361102E-14</v>
      </c>
      <c r="I77" s="18">
        <f t="shared" si="13"/>
        <v>643.60651189796181</v>
      </c>
      <c r="J77" s="18">
        <f t="shared" si="13"/>
        <v>108.36348810203772</v>
      </c>
      <c r="L77" t="s">
        <v>111</v>
      </c>
      <c r="M77" s="18">
        <f>-SUM(N77:R77)</f>
        <v>-1365.8599999999994</v>
      </c>
      <c r="N77" s="18">
        <f>+$M$75*(-N76)/$M$76</f>
        <v>1158.1490059585738</v>
      </c>
      <c r="O77" s="18">
        <f>+$M$75*(-O76)/$M$76</f>
        <v>180.44800272946813</v>
      </c>
      <c r="P77" s="18">
        <f>+$M$75*(-P76)/$M$76</f>
        <v>16.627187400197926</v>
      </c>
      <c r="Q77" s="18">
        <f>+$M$75*(-Q76)/$M$76</f>
        <v>10.635803911759757</v>
      </c>
      <c r="R77" s="18">
        <f>+$M$75*(-R76)/$M$76</f>
        <v>0</v>
      </c>
      <c r="S77" s="17">
        <f>SUM(M77:R77)</f>
        <v>1.1901590823981678E-13</v>
      </c>
      <c r="T77" s="31">
        <f>+N77</f>
        <v>1158.1490059585738</v>
      </c>
      <c r="U77" s="33">
        <f t="shared" si="14"/>
        <v>207.71099404142581</v>
      </c>
    </row>
    <row r="78" spans="1:21">
      <c r="A78" s="15" t="s">
        <v>20</v>
      </c>
      <c r="B78" s="18">
        <f t="shared" si="13"/>
        <v>0</v>
      </c>
      <c r="C78" s="18">
        <f t="shared" si="13"/>
        <v>6924.0734195218047</v>
      </c>
      <c r="D78" s="18">
        <f t="shared" si="13"/>
        <v>845.25947590071087</v>
      </c>
      <c r="E78" s="18">
        <f t="shared" si="13"/>
        <v>10.941014202792367</v>
      </c>
      <c r="F78" s="18">
        <f t="shared" si="13"/>
        <v>44.276090374693169</v>
      </c>
      <c r="G78" s="18">
        <f t="shared" si="13"/>
        <v>0</v>
      </c>
      <c r="H78" s="18">
        <f t="shared" si="13"/>
        <v>7824.5500000000011</v>
      </c>
      <c r="I78" s="18">
        <f t="shared" si="13"/>
        <v>6924.0734195218047</v>
      </c>
      <c r="J78" s="18">
        <f t="shared" si="13"/>
        <v>900.47658047819641</v>
      </c>
      <c r="L78" s="15" t="s">
        <v>20</v>
      </c>
      <c r="M78" s="18">
        <f t="shared" ref="M78:R78" si="16">+M75+M77</f>
        <v>0</v>
      </c>
      <c r="N78" s="18">
        <f t="shared" si="16"/>
        <v>10813.042624788004</v>
      </c>
      <c r="O78" s="18">
        <f t="shared" si="16"/>
        <v>1573.2590726698154</v>
      </c>
      <c r="P78" s="18">
        <f t="shared" si="16"/>
        <v>15.835911183374179</v>
      </c>
      <c r="Q78" s="18">
        <f t="shared" si="16"/>
        <v>114.59239135880739</v>
      </c>
      <c r="R78" s="18">
        <f t="shared" si="16"/>
        <v>0</v>
      </c>
      <c r="S78" s="17">
        <f>SUM(M78:R78)</f>
        <v>12516.730000000001</v>
      </c>
      <c r="T78" s="28">
        <f>+N78</f>
        <v>10813.042624788004</v>
      </c>
      <c r="U78" s="29">
        <f>+O78+P78+Q78</f>
        <v>1703.6873752119971</v>
      </c>
    </row>
    <row r="79" spans="1:21">
      <c r="A79" s="15" t="s">
        <v>245</v>
      </c>
      <c r="H79" s="17">
        <f>+I79+J79</f>
        <v>-779.31000000000017</v>
      </c>
      <c r="I79" s="18">
        <f>+T79-T26</f>
        <v>-686.86000000000013</v>
      </c>
      <c r="J79" s="18">
        <f>+U79-U26</f>
        <v>-92.45</v>
      </c>
      <c r="L79" s="15" t="s">
        <v>245</v>
      </c>
      <c r="S79" s="17">
        <f>+T79+U79</f>
        <v>-1293.73</v>
      </c>
      <c r="T79" s="12">
        <f>-421.81-686.86</f>
        <v>-1108.67</v>
      </c>
      <c r="U79" s="12">
        <f>-92.61-92.45</f>
        <v>-185.06</v>
      </c>
    </row>
    <row r="80" spans="1:21">
      <c r="A80" s="15" t="s">
        <v>300</v>
      </c>
      <c r="H80" s="17">
        <f>+I80+J80</f>
        <v>-32.569999999999993</v>
      </c>
      <c r="I80" s="18">
        <f>+T80-T27</f>
        <v>-70.929999999999993</v>
      </c>
      <c r="J80" s="18">
        <f>+U80-U27</f>
        <v>38.36</v>
      </c>
      <c r="L80" s="15" t="s">
        <v>300</v>
      </c>
      <c r="S80" s="17">
        <f>+T80+U80</f>
        <v>47.150000000000006</v>
      </c>
      <c r="T80" s="12">
        <f>43.43+6.32-86.77</f>
        <v>-37.019999999999996</v>
      </c>
      <c r="U80" s="12">
        <f>46.87+52.49-15.19</f>
        <v>84.17</v>
      </c>
    </row>
    <row r="81" spans="1:24">
      <c r="A81" s="15" t="s">
        <v>246</v>
      </c>
      <c r="H81" s="17">
        <f>+H78+H79+H80</f>
        <v>7012.670000000001</v>
      </c>
      <c r="I81" s="28">
        <f>+I78+I79+I80</f>
        <v>6166.2834195218038</v>
      </c>
      <c r="J81" s="29">
        <f>+J78+J79+J80</f>
        <v>846.38658047819638</v>
      </c>
      <c r="L81" s="15" t="s">
        <v>246</v>
      </c>
      <c r="S81" s="17">
        <f>+S78+S79+S80</f>
        <v>11270.150000000001</v>
      </c>
      <c r="T81" s="28">
        <f>+T78+T79+T80</f>
        <v>9667.3526247880036</v>
      </c>
      <c r="U81" s="29">
        <f>+U78+U79+U80</f>
        <v>1602.7973752119972</v>
      </c>
    </row>
    <row r="82" spans="1:24">
      <c r="N82" s="6"/>
    </row>
    <row r="83" spans="1:24" ht="26">
      <c r="A83" s="38" t="s">
        <v>114</v>
      </c>
      <c r="L83" s="38" t="s">
        <v>114</v>
      </c>
    </row>
    <row r="84" spans="1:24">
      <c r="A84" s="15" t="s">
        <v>115</v>
      </c>
      <c r="G84" s="12">
        <f>+R84-R31</f>
        <v>65.409999999999982</v>
      </c>
      <c r="L84" s="15" t="s">
        <v>157</v>
      </c>
      <c r="R84" s="12">
        <f>124.23+65.41</f>
        <v>189.64</v>
      </c>
    </row>
    <row r="85" spans="1:24">
      <c r="A85" s="34" t="s">
        <v>116</v>
      </c>
      <c r="G85" s="12">
        <f>+R85-R32</f>
        <v>103.17999999999998</v>
      </c>
      <c r="L85" s="34" t="s">
        <v>116</v>
      </c>
      <c r="R85" s="12">
        <v>260.02</v>
      </c>
      <c r="S85" s="6"/>
    </row>
    <row r="86" spans="1:24">
      <c r="A86" s="34" t="s">
        <v>117</v>
      </c>
      <c r="G86" s="12">
        <f>+R86-R33</f>
        <v>59.59</v>
      </c>
      <c r="L86" s="34" t="s">
        <v>117</v>
      </c>
      <c r="R86" s="12">
        <v>217.72</v>
      </c>
    </row>
    <row r="87" spans="1:24">
      <c r="A87" s="34" t="s">
        <v>119</v>
      </c>
      <c r="G87" s="12">
        <f>+R87-R34</f>
        <v>0</v>
      </c>
      <c r="L87" s="34" t="s">
        <v>119</v>
      </c>
      <c r="R87" s="12"/>
    </row>
    <row r="88" spans="1:24">
      <c r="A88" s="34" t="s">
        <v>24</v>
      </c>
      <c r="G88" s="12">
        <f>+R88-R35</f>
        <v>0</v>
      </c>
      <c r="H88">
        <f>SUM(G84:G88)</f>
        <v>228.17999999999998</v>
      </c>
      <c r="L88" s="34" t="s">
        <v>24</v>
      </c>
      <c r="R88" s="12"/>
      <c r="S88">
        <f>SUM(R84:R88)</f>
        <v>667.38</v>
      </c>
    </row>
    <row r="89" spans="1:24">
      <c r="A89" s="3" t="s">
        <v>120</v>
      </c>
      <c r="L89" s="3" t="s">
        <v>120</v>
      </c>
    </row>
    <row r="90" spans="1:24">
      <c r="A90" s="36" t="s">
        <v>123</v>
      </c>
      <c r="G90" s="12">
        <f>+R90-R37</f>
        <v>-13.83</v>
      </c>
      <c r="L90" s="36" t="s">
        <v>123</v>
      </c>
      <c r="R90" s="18">
        <v>0</v>
      </c>
    </row>
    <row r="91" spans="1:24">
      <c r="A91" s="34" t="s">
        <v>124</v>
      </c>
      <c r="G91" s="12">
        <f>+R91-R38</f>
        <v>27.65</v>
      </c>
      <c r="L91" s="34" t="s">
        <v>124</v>
      </c>
      <c r="R91" s="18">
        <v>27.65</v>
      </c>
    </row>
    <row r="92" spans="1:24">
      <c r="A92" s="34" t="s">
        <v>121</v>
      </c>
      <c r="G92" s="12">
        <f>+R92-R39</f>
        <v>0</v>
      </c>
      <c r="L92" s="34" t="s">
        <v>121</v>
      </c>
      <c r="R92" s="18">
        <v>0</v>
      </c>
    </row>
    <row r="93" spans="1:24">
      <c r="A93" s="34" t="s">
        <v>125</v>
      </c>
      <c r="G93" s="12">
        <f>+R93-R40</f>
        <v>0</v>
      </c>
      <c r="L93" s="34" t="s">
        <v>125</v>
      </c>
      <c r="R93" s="12">
        <v>0</v>
      </c>
      <c r="V93" t="s">
        <v>202</v>
      </c>
      <c r="X93">
        <v>11615.94</v>
      </c>
    </row>
    <row r="94" spans="1:24">
      <c r="A94" s="34" t="s">
        <v>122</v>
      </c>
      <c r="G94" s="12">
        <f>+R94-R41</f>
        <v>-0.5</v>
      </c>
      <c r="H94" s="6">
        <f>SUM(G90:G94)</f>
        <v>13.319999999999999</v>
      </c>
      <c r="J94" s="6"/>
      <c r="L94" s="34" t="s">
        <v>122</v>
      </c>
      <c r="R94" s="18">
        <v>0</v>
      </c>
      <c r="S94" s="6">
        <f>SUM(R90:R94)</f>
        <v>27.65</v>
      </c>
      <c r="U94" s="6"/>
      <c r="V94" t="s">
        <v>200</v>
      </c>
      <c r="X94">
        <v>27.65</v>
      </c>
    </row>
    <row r="95" spans="1:24" ht="26">
      <c r="A95" s="35" t="s">
        <v>114</v>
      </c>
      <c r="H95" s="3">
        <f>SUM(G84:G94)</f>
        <v>241.49999999999997</v>
      </c>
      <c r="L95" s="35" t="s">
        <v>114</v>
      </c>
      <c r="S95" s="3">
        <f>SUM(R84:R94)</f>
        <v>695.03</v>
      </c>
      <c r="V95" t="s">
        <v>199</v>
      </c>
      <c r="X95">
        <v>175</v>
      </c>
    </row>
    <row r="96" spans="1:24" ht="13">
      <c r="A96" s="35"/>
      <c r="L96" s="35"/>
    </row>
    <row r="97" spans="1:24">
      <c r="A97" s="5" t="s">
        <v>118</v>
      </c>
      <c r="H97" s="12">
        <f>+S97-S44</f>
        <v>-75.83</v>
      </c>
      <c r="L97" s="5" t="s">
        <v>118</v>
      </c>
      <c r="S97" s="3">
        <v>-156.59</v>
      </c>
      <c r="V97" t="s">
        <v>201</v>
      </c>
      <c r="X97">
        <v>-10</v>
      </c>
    </row>
    <row r="98" spans="1:24" ht="13">
      <c r="A98" s="35" t="s">
        <v>126</v>
      </c>
      <c r="G98" s="3" t="s">
        <v>130</v>
      </c>
      <c r="H98" s="6">
        <f>+H81+H95+H97</f>
        <v>7178.3400000000011</v>
      </c>
      <c r="I98" s="6"/>
      <c r="J98" s="3"/>
      <c r="L98" s="35" t="s">
        <v>126</v>
      </c>
      <c r="R98" s="3" t="s">
        <v>130</v>
      </c>
      <c r="S98" s="6">
        <f>+S81+S95+S97</f>
        <v>11808.590000000002</v>
      </c>
      <c r="T98" s="6"/>
      <c r="U98" s="3"/>
      <c r="X98" s="3">
        <f>+X93+X94+X95+X96+X97</f>
        <v>11808.59</v>
      </c>
    </row>
    <row r="99" spans="1:24">
      <c r="R99" s="3" t="s">
        <v>130</v>
      </c>
      <c r="S99" s="3">
        <v>11808.55</v>
      </c>
      <c r="T99" s="6">
        <v>11615.94</v>
      </c>
      <c r="U99" s="3" t="s">
        <v>131</v>
      </c>
      <c r="X99" s="6">
        <f>+X98-T101</f>
        <v>0</v>
      </c>
    </row>
    <row r="100" spans="1:24">
      <c r="S100" s="6">
        <f>+S98-S99</f>
        <v>4.0000000002692104E-2</v>
      </c>
      <c r="T100" s="6">
        <f>+T99-S98</f>
        <v>-192.65000000000146</v>
      </c>
    </row>
    <row r="101" spans="1:24">
      <c r="T101" s="4">
        <f>+T99-T100</f>
        <v>11808.590000000002</v>
      </c>
      <c r="U101" t="s">
        <v>203</v>
      </c>
    </row>
    <row r="103" spans="1:24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</row>
    <row r="107" spans="1:24">
      <c r="A107" s="3" t="s">
        <v>95</v>
      </c>
      <c r="L107" s="3" t="s">
        <v>95</v>
      </c>
    </row>
    <row r="108" spans="1:24">
      <c r="A108" s="3" t="s">
        <v>127</v>
      </c>
      <c r="L108" s="3" t="s">
        <v>127</v>
      </c>
    </row>
    <row r="109" spans="1:24">
      <c r="A109" s="3"/>
      <c r="B109" s="3" t="s">
        <v>129</v>
      </c>
      <c r="C109" s="122" t="s">
        <v>192</v>
      </c>
      <c r="L109" s="3"/>
      <c r="M109" s="3" t="s">
        <v>92</v>
      </c>
      <c r="N109" s="122" t="str">
        <f>+C109</f>
        <v>Sept 05</v>
      </c>
    </row>
    <row r="110" spans="1:24">
      <c r="A110" s="3" t="s">
        <v>128</v>
      </c>
      <c r="B110" s="3" t="s">
        <v>97</v>
      </c>
      <c r="C110" s="3" t="s">
        <v>93</v>
      </c>
      <c r="D110" s="3" t="s">
        <v>98</v>
      </c>
      <c r="E110" s="3" t="s">
        <v>99</v>
      </c>
      <c r="F110" s="3" t="s">
        <v>100</v>
      </c>
      <c r="G110" s="3" t="s">
        <v>102</v>
      </c>
      <c r="H110" s="3" t="s">
        <v>91</v>
      </c>
      <c r="I110" s="3" t="s">
        <v>93</v>
      </c>
      <c r="J110" s="3" t="s">
        <v>94</v>
      </c>
      <c r="L110" s="3" t="s">
        <v>128</v>
      </c>
      <c r="M110" s="3" t="s">
        <v>97</v>
      </c>
      <c r="N110" s="3" t="s">
        <v>93</v>
      </c>
      <c r="O110" s="3" t="s">
        <v>98</v>
      </c>
      <c r="P110" s="3" t="s">
        <v>99</v>
      </c>
      <c r="Q110" s="3" t="s">
        <v>100</v>
      </c>
      <c r="R110" s="3" t="s">
        <v>102</v>
      </c>
      <c r="S110" s="3" t="s">
        <v>91</v>
      </c>
      <c r="T110" s="3" t="s">
        <v>93</v>
      </c>
      <c r="U110" s="3" t="s">
        <v>94</v>
      </c>
    </row>
    <row r="112" spans="1:24">
      <c r="A112" s="3" t="s">
        <v>17</v>
      </c>
      <c r="L112" s="3" t="s">
        <v>17</v>
      </c>
      <c r="S112" s="6"/>
    </row>
    <row r="113" spans="1:21">
      <c r="S113" s="6"/>
    </row>
    <row r="114" spans="1:21">
      <c r="A114" t="s">
        <v>101</v>
      </c>
      <c r="B114" s="12">
        <f t="shared" ref="B114:J120" si="17">+M114-M61</f>
        <v>0</v>
      </c>
      <c r="C114" s="12">
        <f t="shared" si="17"/>
        <v>43148</v>
      </c>
      <c r="D114" s="12">
        <f t="shared" si="17"/>
        <v>8497</v>
      </c>
      <c r="E114" s="12">
        <f t="shared" si="17"/>
        <v>881</v>
      </c>
      <c r="F114" s="12">
        <f t="shared" si="17"/>
        <v>405</v>
      </c>
      <c r="G114" s="12">
        <f t="shared" si="17"/>
        <v>0</v>
      </c>
      <c r="H114" s="12">
        <f t="shared" si="17"/>
        <v>52931</v>
      </c>
      <c r="I114" s="12">
        <f t="shared" si="17"/>
        <v>43148</v>
      </c>
      <c r="J114" s="12">
        <f t="shared" si="17"/>
        <v>9783</v>
      </c>
      <c r="L114" t="s">
        <v>101</v>
      </c>
      <c r="M114" s="12">
        <v>0</v>
      </c>
      <c r="N114" s="12">
        <v>140137</v>
      </c>
      <c r="O114" s="12">
        <v>24793</v>
      </c>
      <c r="P114" s="12">
        <v>2379</v>
      </c>
      <c r="Q114" s="12">
        <v>1292</v>
      </c>
      <c r="R114" s="12">
        <v>0</v>
      </c>
      <c r="S114" s="16">
        <f>SUM(M114:R114)</f>
        <v>168601</v>
      </c>
      <c r="T114" s="30">
        <f>+N114</f>
        <v>140137</v>
      </c>
      <c r="U114" s="32">
        <f t="shared" ref="U114:U120" si="18">+O114+P114+Q114</f>
        <v>28464</v>
      </c>
    </row>
    <row r="115" spans="1:21">
      <c r="A115" t="s">
        <v>103</v>
      </c>
      <c r="B115" s="18">
        <f t="shared" si="17"/>
        <v>0</v>
      </c>
      <c r="C115" s="18">
        <f t="shared" si="17"/>
        <v>33070.979999999996</v>
      </c>
      <c r="D115" s="18">
        <f t="shared" si="17"/>
        <v>5906.8099999999995</v>
      </c>
      <c r="E115" s="18">
        <f t="shared" si="17"/>
        <v>532.80000000000007</v>
      </c>
      <c r="F115" s="18">
        <f t="shared" si="17"/>
        <v>281.68000000000006</v>
      </c>
      <c r="G115" s="18">
        <f t="shared" si="17"/>
        <v>0</v>
      </c>
      <c r="H115" s="18">
        <f t="shared" si="17"/>
        <v>39792.26999999999</v>
      </c>
      <c r="I115" s="18">
        <f t="shared" si="17"/>
        <v>33070.979999999996</v>
      </c>
      <c r="J115" s="18">
        <f t="shared" si="17"/>
        <v>6721.2899999999991</v>
      </c>
      <c r="L115" t="s">
        <v>103</v>
      </c>
      <c r="M115" s="18">
        <v>0</v>
      </c>
      <c r="N115" s="18">
        <v>106287.11</v>
      </c>
      <c r="O115" s="18">
        <v>16956.05</v>
      </c>
      <c r="P115" s="18">
        <v>1407.46</v>
      </c>
      <c r="Q115" s="18">
        <v>916.09</v>
      </c>
      <c r="R115" s="18">
        <v>0</v>
      </c>
      <c r="S115" s="17">
        <f>SUM(M115:R115)</f>
        <v>125566.71</v>
      </c>
      <c r="T115" s="31">
        <f>+N115</f>
        <v>106287.11</v>
      </c>
      <c r="U115" s="33">
        <f t="shared" si="18"/>
        <v>19279.599999999999</v>
      </c>
    </row>
    <row r="116" spans="1:21">
      <c r="A116" t="s">
        <v>104</v>
      </c>
      <c r="B116" s="18">
        <f t="shared" si="17"/>
        <v>0</v>
      </c>
      <c r="C116" s="18">
        <f t="shared" si="17"/>
        <v>-825.36999999999989</v>
      </c>
      <c r="D116" s="18">
        <f t="shared" si="17"/>
        <v>-19.11</v>
      </c>
      <c r="E116" s="18">
        <f t="shared" si="17"/>
        <v>-5.69</v>
      </c>
      <c r="F116" s="18">
        <f t="shared" si="17"/>
        <v>-0.72</v>
      </c>
      <c r="G116" s="18">
        <f t="shared" si="17"/>
        <v>0</v>
      </c>
      <c r="H116" s="18">
        <f t="shared" si="17"/>
        <v>-850.89000000000033</v>
      </c>
      <c r="I116" s="18">
        <f t="shared" si="17"/>
        <v>-825.36999999999989</v>
      </c>
      <c r="J116" s="18">
        <f t="shared" si="17"/>
        <v>-25.52</v>
      </c>
      <c r="L116" t="s">
        <v>104</v>
      </c>
      <c r="M116" s="18">
        <v>0</v>
      </c>
      <c r="N116" s="18">
        <v>-3129.02</v>
      </c>
      <c r="O116" s="18">
        <v>-19.88</v>
      </c>
      <c r="P116" s="18">
        <v>-11.48</v>
      </c>
      <c r="Q116" s="18">
        <v>-0.53</v>
      </c>
      <c r="R116" s="18">
        <v>0</v>
      </c>
      <c r="S116" s="17">
        <f>SUM(M116:R116)</f>
        <v>-3160.9100000000003</v>
      </c>
      <c r="T116" s="31">
        <f>+N116</f>
        <v>-3129.02</v>
      </c>
      <c r="U116" s="33">
        <f t="shared" si="18"/>
        <v>-31.89</v>
      </c>
    </row>
    <row r="117" spans="1:21">
      <c r="A117" t="s">
        <v>105</v>
      </c>
      <c r="B117" s="18">
        <f t="shared" si="17"/>
        <v>0</v>
      </c>
      <c r="C117" s="18">
        <f t="shared" si="17"/>
        <v>32245.609999999986</v>
      </c>
      <c r="D117" s="18">
        <f t="shared" si="17"/>
        <v>5887.6999999999989</v>
      </c>
      <c r="E117" s="18">
        <f t="shared" si="17"/>
        <v>527.11</v>
      </c>
      <c r="F117" s="18">
        <f t="shared" si="17"/>
        <v>280.96000000000004</v>
      </c>
      <c r="G117" s="18">
        <f t="shared" si="17"/>
        <v>0</v>
      </c>
      <c r="H117" s="18">
        <f t="shared" si="17"/>
        <v>38941.37999999999</v>
      </c>
      <c r="I117" s="18">
        <f t="shared" si="17"/>
        <v>32245.609999999986</v>
      </c>
      <c r="J117" s="18">
        <f t="shared" si="17"/>
        <v>6695.7699999999986</v>
      </c>
      <c r="L117" t="s">
        <v>105</v>
      </c>
      <c r="M117" s="17">
        <f t="shared" ref="M117:T117" si="19">+M115+M116</f>
        <v>0</v>
      </c>
      <c r="N117" s="17">
        <f t="shared" si="19"/>
        <v>103158.09</v>
      </c>
      <c r="O117" s="17">
        <f t="shared" si="19"/>
        <v>16936.169999999998</v>
      </c>
      <c r="P117" s="17">
        <f t="shared" si="19"/>
        <v>1395.98</v>
      </c>
      <c r="Q117" s="17">
        <f t="shared" si="19"/>
        <v>915.56000000000006</v>
      </c>
      <c r="R117" s="17">
        <f t="shared" si="19"/>
        <v>0</v>
      </c>
      <c r="S117" s="17">
        <f t="shared" si="19"/>
        <v>122405.8</v>
      </c>
      <c r="T117" s="31">
        <f t="shared" si="19"/>
        <v>103158.09</v>
      </c>
      <c r="U117" s="33">
        <f t="shared" si="18"/>
        <v>19247.71</v>
      </c>
    </row>
    <row r="118" spans="1:21">
      <c r="A118" t="s">
        <v>106</v>
      </c>
      <c r="B118" s="18">
        <f t="shared" si="17"/>
        <v>0</v>
      </c>
      <c r="C118" s="18">
        <f t="shared" si="17"/>
        <v>-4697.8700000000008</v>
      </c>
      <c r="D118" s="18">
        <f t="shared" si="17"/>
        <v>-802.01999999999975</v>
      </c>
      <c r="E118" s="18">
        <f t="shared" si="17"/>
        <v>-78.260000000000019</v>
      </c>
      <c r="F118" s="18">
        <f t="shared" si="17"/>
        <v>-34.039999999999992</v>
      </c>
      <c r="G118" s="18">
        <f t="shared" si="17"/>
        <v>0</v>
      </c>
      <c r="H118" s="18">
        <f t="shared" si="17"/>
        <v>-5612.1900000000005</v>
      </c>
      <c r="I118" s="18">
        <f t="shared" si="17"/>
        <v>-4697.8700000000008</v>
      </c>
      <c r="J118" s="18">
        <f t="shared" si="17"/>
        <v>-914.31999999999971</v>
      </c>
      <c r="L118" t="s">
        <v>106</v>
      </c>
      <c r="M118" s="18">
        <v>0</v>
      </c>
      <c r="N118" s="18">
        <v>-15045.76</v>
      </c>
      <c r="O118" s="18">
        <v>-2318.4299999999998</v>
      </c>
      <c r="P118" s="18">
        <v>-210.58</v>
      </c>
      <c r="Q118" s="18">
        <v>-99.41</v>
      </c>
      <c r="R118" s="18">
        <v>0</v>
      </c>
      <c r="S118" s="17">
        <f>SUM(M118:R118)</f>
        <v>-17674.18</v>
      </c>
      <c r="T118" s="31">
        <f>+N118</f>
        <v>-15045.76</v>
      </c>
      <c r="U118" s="33">
        <f t="shared" si="18"/>
        <v>-2628.4199999999996</v>
      </c>
    </row>
    <row r="119" spans="1:21">
      <c r="A119" t="s">
        <v>107</v>
      </c>
      <c r="B119" s="18">
        <f t="shared" si="17"/>
        <v>0</v>
      </c>
      <c r="C119" s="18">
        <f t="shared" si="17"/>
        <v>-4633.2118655885606</v>
      </c>
      <c r="D119" s="18">
        <f t="shared" si="17"/>
        <v>-791.32547313730379</v>
      </c>
      <c r="E119" s="18">
        <f t="shared" si="17"/>
        <v>-77.23795463998411</v>
      </c>
      <c r="F119" s="18">
        <f t="shared" si="17"/>
        <v>-33.584706634154159</v>
      </c>
      <c r="G119" s="18">
        <f t="shared" si="17"/>
        <v>0</v>
      </c>
      <c r="H119" s="18">
        <f t="shared" si="17"/>
        <v>-5535.3600000000024</v>
      </c>
      <c r="I119" s="18">
        <f t="shared" si="17"/>
        <v>-4633.2118655885606</v>
      </c>
      <c r="J119" s="18">
        <f t="shared" si="17"/>
        <v>-902.14813441144224</v>
      </c>
      <c r="L119" t="s">
        <v>107</v>
      </c>
      <c r="M119" s="17">
        <f>+M118*$S$119/$S$118</f>
        <v>0</v>
      </c>
      <c r="N119" s="17">
        <f>+N118*$S$119/$S$118</f>
        <v>-14884.237230491035</v>
      </c>
      <c r="O119" s="17">
        <f>+O118*$S$119/$S$118</f>
        <v>-2293.5406468192587</v>
      </c>
      <c r="P119" s="17">
        <f>+P118*$S$119/$S$118</f>
        <v>-208.31933222361664</v>
      </c>
      <c r="Q119" s="17">
        <f>+Q118*$S$119/$S$118</f>
        <v>-98.342790466092353</v>
      </c>
      <c r="R119" s="17">
        <f>+R118*$H$118/$H$119</f>
        <v>0</v>
      </c>
      <c r="S119" s="18">
        <f>-17194.56-289.88</f>
        <v>-17484.440000000002</v>
      </c>
      <c r="T119" s="31">
        <f>+N119</f>
        <v>-14884.237230491035</v>
      </c>
      <c r="U119" s="33">
        <f t="shared" si="18"/>
        <v>-2600.2027695089678</v>
      </c>
    </row>
    <row r="120" spans="1:21">
      <c r="A120" t="s">
        <v>39</v>
      </c>
      <c r="B120" s="18">
        <f t="shared" si="17"/>
        <v>0</v>
      </c>
      <c r="C120" s="18">
        <f t="shared" si="17"/>
        <v>27612.398134411422</v>
      </c>
      <c r="D120" s="18">
        <f t="shared" si="17"/>
        <v>5096.3745268626935</v>
      </c>
      <c r="E120" s="18">
        <f t="shared" si="17"/>
        <v>449.87204536001593</v>
      </c>
      <c r="F120" s="18">
        <f t="shared" si="17"/>
        <v>247.37529336584589</v>
      </c>
      <c r="G120" s="18">
        <f t="shared" si="17"/>
        <v>0</v>
      </c>
      <c r="H120" s="18">
        <f t="shared" si="17"/>
        <v>33406.01999999996</v>
      </c>
      <c r="I120" s="18">
        <f t="shared" si="17"/>
        <v>27612.398134411422</v>
      </c>
      <c r="J120" s="18">
        <f t="shared" si="17"/>
        <v>5793.621865588555</v>
      </c>
      <c r="L120" t="s">
        <v>39</v>
      </c>
      <c r="M120" s="6">
        <f t="shared" ref="M120:R120" si="20">+M117+M119</f>
        <v>0</v>
      </c>
      <c r="N120" s="6">
        <f t="shared" si="20"/>
        <v>88273.852769508958</v>
      </c>
      <c r="O120" s="6">
        <f t="shared" si="20"/>
        <v>14642.629353180739</v>
      </c>
      <c r="P120" s="6">
        <f t="shared" si="20"/>
        <v>1187.6606677763834</v>
      </c>
      <c r="Q120" s="6">
        <f t="shared" si="20"/>
        <v>817.21720953390775</v>
      </c>
      <c r="R120" s="6">
        <f t="shared" si="20"/>
        <v>0</v>
      </c>
      <c r="S120" s="17">
        <f>SUM(M120:R120)</f>
        <v>104921.35999999997</v>
      </c>
      <c r="T120" s="28">
        <f>+N120</f>
        <v>88273.852769508958</v>
      </c>
      <c r="U120" s="29">
        <f t="shared" si="18"/>
        <v>16647.507230491028</v>
      </c>
    </row>
    <row r="123" spans="1:21">
      <c r="A123" s="3" t="s">
        <v>20</v>
      </c>
      <c r="L123" s="3" t="s">
        <v>20</v>
      </c>
      <c r="S123" s="6"/>
    </row>
    <row r="125" spans="1:21">
      <c r="A125" t="s">
        <v>108</v>
      </c>
      <c r="B125" s="18">
        <f t="shared" ref="B125:J131" si="21">+M125-M72</f>
        <v>2966.1899999999996</v>
      </c>
      <c r="C125" s="18">
        <f t="shared" si="21"/>
        <v>8232.3599999999969</v>
      </c>
      <c r="D125" s="18">
        <f t="shared" si="21"/>
        <v>1674.0299999999997</v>
      </c>
      <c r="E125" s="18">
        <f t="shared" si="21"/>
        <v>103.89000000000001</v>
      </c>
      <c r="F125" s="18">
        <f t="shared" si="21"/>
        <v>83.769999999999982</v>
      </c>
      <c r="G125" s="18">
        <f t="shared" si="21"/>
        <v>0</v>
      </c>
      <c r="H125" s="18">
        <f t="shared" si="21"/>
        <v>13060.240000000002</v>
      </c>
      <c r="I125" s="18">
        <f t="shared" si="21"/>
        <v>8232.3599999999969</v>
      </c>
      <c r="J125" s="18">
        <f t="shared" si="21"/>
        <v>1861.6899999999991</v>
      </c>
      <c r="L125" t="s">
        <v>108</v>
      </c>
      <c r="M125" s="141">
        <f>9085.24+13.65</f>
        <v>9098.89</v>
      </c>
      <c r="N125" s="18">
        <f>26185.85</f>
        <v>26185.85</v>
      </c>
      <c r="O125" s="18">
        <v>4662.1499999999996</v>
      </c>
      <c r="P125" s="18">
        <v>239.15</v>
      </c>
      <c r="Q125" s="18">
        <v>272.83</v>
      </c>
      <c r="R125" s="18">
        <v>0</v>
      </c>
      <c r="S125" s="17">
        <f>SUM(M125:R125)</f>
        <v>40458.870000000003</v>
      </c>
      <c r="T125" s="31">
        <f>+N125</f>
        <v>26185.85</v>
      </c>
      <c r="U125" s="33">
        <f t="shared" ref="U125:U130" si="22">+O125+P125+Q125</f>
        <v>5174.1299999999992</v>
      </c>
    </row>
    <row r="126" spans="1:21">
      <c r="A126" t="s">
        <v>109</v>
      </c>
      <c r="B126" s="18">
        <f t="shared" si="21"/>
        <v>-2281.3199999999997</v>
      </c>
      <c r="C126" s="18">
        <f t="shared" si="21"/>
        <v>-4200.3500000000004</v>
      </c>
      <c r="D126" s="18">
        <f t="shared" si="21"/>
        <v>-871.17000000000007</v>
      </c>
      <c r="E126" s="18">
        <f t="shared" si="21"/>
        <v>-70.69</v>
      </c>
      <c r="F126" s="18">
        <f t="shared" si="21"/>
        <v>-51.119999999999976</v>
      </c>
      <c r="G126" s="18">
        <f t="shared" si="21"/>
        <v>-23.149999999999991</v>
      </c>
      <c r="H126" s="18">
        <f t="shared" si="21"/>
        <v>-7497.7999999999956</v>
      </c>
      <c r="I126" s="18">
        <f t="shared" si="21"/>
        <v>-4200.3500000000004</v>
      </c>
      <c r="J126" s="18">
        <f t="shared" si="21"/>
        <v>-992.98</v>
      </c>
      <c r="L126" t="s">
        <v>109</v>
      </c>
      <c r="M126" s="18">
        <v>-7048.16</v>
      </c>
      <c r="N126" s="141">
        <f>-12810.36+297.73+107</f>
        <v>-12405.630000000001</v>
      </c>
      <c r="O126" s="141">
        <f>-2479.71+28.91</f>
        <v>-2450.8000000000002</v>
      </c>
      <c r="P126" s="141">
        <f>-210+4.7</f>
        <v>-205.3</v>
      </c>
      <c r="Q126" s="141">
        <f>-136.7+1.33</f>
        <v>-135.36999999999998</v>
      </c>
      <c r="R126" s="18">
        <v>-134.44</v>
      </c>
      <c r="S126" s="17">
        <f>SUM(M126:R126)</f>
        <v>-22379.699999999997</v>
      </c>
      <c r="T126" s="31">
        <f>+N126</f>
        <v>-12405.630000000001</v>
      </c>
      <c r="U126" s="33">
        <f t="shared" si="22"/>
        <v>-2791.4700000000003</v>
      </c>
    </row>
    <row r="127" spans="1:21">
      <c r="A127" t="s">
        <v>110</v>
      </c>
      <c r="B127" s="18">
        <f t="shared" si="21"/>
        <v>0</v>
      </c>
      <c r="C127" s="18">
        <f t="shared" si="21"/>
        <v>-18.42683672256085</v>
      </c>
      <c r="D127" s="18">
        <f t="shared" si="21"/>
        <v>-4.0906497174544381</v>
      </c>
      <c r="E127" s="18">
        <f t="shared" si="21"/>
        <v>-0.45570399088560287</v>
      </c>
      <c r="F127" s="18">
        <f t="shared" si="21"/>
        <v>-0.17680956909910606</v>
      </c>
      <c r="G127" s="18">
        <f t="shared" si="21"/>
        <v>23.149999999999991</v>
      </c>
      <c r="H127" s="18">
        <f t="shared" si="21"/>
        <v>0</v>
      </c>
      <c r="I127" s="18">
        <f t="shared" si="21"/>
        <v>-18.42683672256085</v>
      </c>
      <c r="J127" s="18">
        <f t="shared" si="21"/>
        <v>-4.7231632774391485</v>
      </c>
      <c r="L127" t="s">
        <v>110</v>
      </c>
      <c r="M127" s="17">
        <v>0</v>
      </c>
      <c r="N127" s="17">
        <f>+N114*$R$126/$S$114</f>
        <v>-111.74321789313231</v>
      </c>
      <c r="O127" s="17">
        <f>+O114*$R$126/$S$114</f>
        <v>-19.769579777106898</v>
      </c>
      <c r="P127" s="17">
        <f>+P114*$R$126/$S$114</f>
        <v>-1.8969802077093256</v>
      </c>
      <c r="Q127" s="17">
        <f>+Q114*$R$126/$S$114</f>
        <v>-1.0302221220514707</v>
      </c>
      <c r="R127" s="17">
        <f>-SUM(M127:Q127)</f>
        <v>134.44</v>
      </c>
      <c r="S127" s="17">
        <f>SUM(M127:R127)</f>
        <v>0</v>
      </c>
      <c r="T127" s="31">
        <f>+N127</f>
        <v>-111.74321789313231</v>
      </c>
      <c r="U127" s="33">
        <f t="shared" si="22"/>
        <v>-22.696782106867694</v>
      </c>
    </row>
    <row r="128" spans="1:21">
      <c r="A128" t="s">
        <v>112</v>
      </c>
      <c r="B128" s="18">
        <f t="shared" si="21"/>
        <v>684.86999999999989</v>
      </c>
      <c r="C128" s="18">
        <f t="shared" si="21"/>
        <v>4013.5831632774352</v>
      </c>
      <c r="D128" s="18">
        <f t="shared" si="21"/>
        <v>798.76935028254502</v>
      </c>
      <c r="E128" s="18">
        <f t="shared" si="21"/>
        <v>32.744296009114414</v>
      </c>
      <c r="F128" s="18">
        <f t="shared" si="21"/>
        <v>32.4731904309009</v>
      </c>
      <c r="G128" s="18">
        <f t="shared" si="21"/>
        <v>0</v>
      </c>
      <c r="H128" s="18">
        <f t="shared" si="21"/>
        <v>5562.440000000006</v>
      </c>
      <c r="I128" s="18">
        <f t="shared" si="21"/>
        <v>4013.5831632774352</v>
      </c>
      <c r="J128" s="18">
        <f t="shared" si="21"/>
        <v>863.98683672256061</v>
      </c>
      <c r="L128" t="s">
        <v>112</v>
      </c>
      <c r="M128" s="17">
        <f t="shared" ref="M128:T128" si="23">SUM(M125:M127)</f>
        <v>2050.7299999999996</v>
      </c>
      <c r="N128" s="17">
        <f t="shared" si="23"/>
        <v>13668.476782106865</v>
      </c>
      <c r="O128" s="17">
        <f t="shared" si="23"/>
        <v>2191.5804202228924</v>
      </c>
      <c r="P128" s="17">
        <f t="shared" si="23"/>
        <v>31.953019792290668</v>
      </c>
      <c r="Q128" s="17">
        <f t="shared" si="23"/>
        <v>136.42977787794854</v>
      </c>
      <c r="R128" s="17">
        <f t="shared" si="23"/>
        <v>0</v>
      </c>
      <c r="S128" s="17">
        <f t="shared" si="23"/>
        <v>18079.170000000006</v>
      </c>
      <c r="T128" s="31">
        <f t="shared" si="23"/>
        <v>13668.476782106865</v>
      </c>
      <c r="U128" s="33">
        <f t="shared" si="22"/>
        <v>2359.963217893132</v>
      </c>
    </row>
    <row r="129" spans="1:26">
      <c r="A129" t="s">
        <v>113</v>
      </c>
      <c r="B129" s="18">
        <f t="shared" si="21"/>
        <v>22687.139999999992</v>
      </c>
      <c r="C129" s="18">
        <f t="shared" si="21"/>
        <v>-18721.47</v>
      </c>
      <c r="D129" s="18">
        <f t="shared" si="21"/>
        <v>-3460.7800000000007</v>
      </c>
      <c r="E129" s="18">
        <f t="shared" si="21"/>
        <v>-342.1</v>
      </c>
      <c r="F129" s="18">
        <f t="shared" si="21"/>
        <v>-162.78999999999996</v>
      </c>
      <c r="G129" s="18">
        <f t="shared" si="21"/>
        <v>0</v>
      </c>
      <c r="H129" s="18">
        <f t="shared" si="21"/>
        <v>-9.6633812063373625E-12</v>
      </c>
      <c r="I129" s="18">
        <f t="shared" si="21"/>
        <v>-18721.47</v>
      </c>
      <c r="J129" s="18">
        <f t="shared" si="21"/>
        <v>-3965.670000000001</v>
      </c>
      <c r="L129" t="s">
        <v>113</v>
      </c>
      <c r="M129" s="18">
        <v>71502.509999999995</v>
      </c>
      <c r="N129" s="18">
        <v>-60113.32</v>
      </c>
      <c r="O129" s="18">
        <v>-9909.93</v>
      </c>
      <c r="P129" s="18">
        <v>-936.35</v>
      </c>
      <c r="Q129" s="18">
        <v>-542.91</v>
      </c>
      <c r="R129" s="18">
        <v>0</v>
      </c>
      <c r="S129" s="17">
        <f>SUM(M129:R129)</f>
        <v>-5.2295945351943374E-12</v>
      </c>
      <c r="T129" s="31">
        <f>+N129</f>
        <v>-60113.32</v>
      </c>
      <c r="U129" s="33">
        <f t="shared" si="22"/>
        <v>-11389.19</v>
      </c>
    </row>
    <row r="130" spans="1:26">
      <c r="A130" t="s">
        <v>111</v>
      </c>
      <c r="B130" s="18">
        <f t="shared" si="21"/>
        <v>-684.87000000000012</v>
      </c>
      <c r="C130" s="18">
        <f t="shared" si="21"/>
        <v>565.93296995527839</v>
      </c>
      <c r="D130" s="18">
        <f t="shared" si="21"/>
        <v>103.77405813105267</v>
      </c>
      <c r="E130" s="18">
        <f t="shared" si="21"/>
        <v>10.22782839575105</v>
      </c>
      <c r="F130" s="18">
        <f t="shared" si="21"/>
        <v>4.9351435179178846</v>
      </c>
      <c r="G130" s="18">
        <f t="shared" si="21"/>
        <v>0</v>
      </c>
      <c r="H130" s="18">
        <f t="shared" si="21"/>
        <v>-1.1901590823981678E-13</v>
      </c>
      <c r="I130" s="18">
        <f t="shared" si="21"/>
        <v>565.93296995527839</v>
      </c>
      <c r="J130" s="18">
        <f t="shared" si="21"/>
        <v>118.93703004472161</v>
      </c>
      <c r="L130" t="s">
        <v>111</v>
      </c>
      <c r="M130" s="17">
        <f>-SUM(N130:R130)</f>
        <v>-2050.7299999999996</v>
      </c>
      <c r="N130" s="17">
        <f>+$M$128*(-N129)/$M$129</f>
        <v>1724.0819759138521</v>
      </c>
      <c r="O130" s="17">
        <f>+$M$128*(-O129)/$M$129</f>
        <v>284.2220608605208</v>
      </c>
      <c r="P130" s="17">
        <f>+$M$128*(-P129)/$M$129</f>
        <v>26.855015795948976</v>
      </c>
      <c r="Q130" s="17">
        <f>+$M$128*(-Q129)/$M$129</f>
        <v>15.570947429677641</v>
      </c>
      <c r="R130" s="17">
        <f>+$M$128*(-R129)/$M$129</f>
        <v>0</v>
      </c>
      <c r="S130" s="17">
        <f>SUM(M130:R130)</f>
        <v>0</v>
      </c>
      <c r="T130" s="31">
        <f>+N130</f>
        <v>1724.0819759138521</v>
      </c>
      <c r="U130" s="33">
        <f t="shared" si="22"/>
        <v>326.64802408614742</v>
      </c>
    </row>
    <row r="131" spans="1:26">
      <c r="A131" s="15" t="s">
        <v>20</v>
      </c>
      <c r="B131" s="18">
        <f t="shared" si="21"/>
        <v>0</v>
      </c>
      <c r="C131" s="18">
        <f t="shared" si="21"/>
        <v>4579.5161332327134</v>
      </c>
      <c r="D131" s="18">
        <f t="shared" si="21"/>
        <v>902.54340841359772</v>
      </c>
      <c r="E131" s="18">
        <f t="shared" si="21"/>
        <v>42.972124404865468</v>
      </c>
      <c r="F131" s="18">
        <f t="shared" si="21"/>
        <v>37.408333948818779</v>
      </c>
      <c r="G131" s="18">
        <f t="shared" si="21"/>
        <v>0</v>
      </c>
      <c r="H131" s="18">
        <f t="shared" si="21"/>
        <v>5562.4399999999969</v>
      </c>
      <c r="I131" s="18">
        <f t="shared" si="21"/>
        <v>4579.5161332327134</v>
      </c>
      <c r="J131" s="18">
        <f t="shared" si="21"/>
        <v>982.92386676728188</v>
      </c>
      <c r="L131" s="15" t="s">
        <v>20</v>
      </c>
      <c r="M131" s="17">
        <f t="shared" ref="M131:R131" si="24">+M128+M130</f>
        <v>0</v>
      </c>
      <c r="N131" s="17">
        <f t="shared" si="24"/>
        <v>15392.558758020718</v>
      </c>
      <c r="O131" s="17">
        <f t="shared" si="24"/>
        <v>2475.8024810834131</v>
      </c>
      <c r="P131" s="17">
        <f t="shared" si="24"/>
        <v>58.808035588239647</v>
      </c>
      <c r="Q131" s="17">
        <f t="shared" si="24"/>
        <v>152.00072530762617</v>
      </c>
      <c r="R131" s="17">
        <f t="shared" si="24"/>
        <v>0</v>
      </c>
      <c r="S131" s="17">
        <f>SUM(M131:R131)</f>
        <v>18079.169999999998</v>
      </c>
      <c r="T131" s="28">
        <f>+N131</f>
        <v>15392.558758020718</v>
      </c>
      <c r="U131" s="29">
        <f>+O131+P131+Q131</f>
        <v>2686.6112419792789</v>
      </c>
    </row>
    <row r="132" spans="1:26">
      <c r="A132" s="15" t="s">
        <v>245</v>
      </c>
      <c r="B132" s="18">
        <f t="shared" ref="B132:J134" si="25">+M132-M79</f>
        <v>0</v>
      </c>
      <c r="C132" s="18">
        <f t="shared" si="25"/>
        <v>0</v>
      </c>
      <c r="D132" s="18">
        <f t="shared" si="25"/>
        <v>0</v>
      </c>
      <c r="E132" s="18">
        <f t="shared" si="25"/>
        <v>0</v>
      </c>
      <c r="F132" s="18">
        <f t="shared" si="25"/>
        <v>0</v>
      </c>
      <c r="G132" s="18">
        <f t="shared" si="25"/>
        <v>0</v>
      </c>
      <c r="H132" s="18">
        <f t="shared" si="25"/>
        <v>-578.38000000000011</v>
      </c>
      <c r="I132" s="18">
        <f t="shared" si="25"/>
        <v>-466.06999999999994</v>
      </c>
      <c r="J132" s="18">
        <f t="shared" si="25"/>
        <v>-112.31</v>
      </c>
      <c r="L132" s="15" t="s">
        <v>245</v>
      </c>
      <c r="M132" s="15"/>
      <c r="N132" s="15"/>
      <c r="O132" s="15"/>
      <c r="P132" s="15"/>
      <c r="Q132" s="15"/>
      <c r="R132" s="15"/>
      <c r="S132" s="17">
        <f>+T132+U132</f>
        <v>-1872.1100000000001</v>
      </c>
      <c r="T132" s="12">
        <f>-421.81-686.86-466.07</f>
        <v>-1574.74</v>
      </c>
      <c r="U132" s="12">
        <f>-92.61-92.45-112.31</f>
        <v>-297.37</v>
      </c>
    </row>
    <row r="133" spans="1:26">
      <c r="A133" s="15" t="s">
        <v>300</v>
      </c>
      <c r="B133" s="18">
        <f t="shared" si="25"/>
        <v>0</v>
      </c>
      <c r="C133" s="18">
        <f t="shared" si="25"/>
        <v>0</v>
      </c>
      <c r="D133" s="18">
        <f t="shared" si="25"/>
        <v>0</v>
      </c>
      <c r="E133" s="18">
        <f t="shared" si="25"/>
        <v>0</v>
      </c>
      <c r="F133" s="18">
        <f t="shared" si="25"/>
        <v>0</v>
      </c>
      <c r="G133" s="18">
        <f t="shared" si="25"/>
        <v>0</v>
      </c>
      <c r="H133" s="18">
        <f t="shared" si="25"/>
        <v>143.08000000000004</v>
      </c>
      <c r="I133" s="18">
        <f t="shared" si="25"/>
        <v>41.29000000000002</v>
      </c>
      <c r="J133" s="18">
        <f t="shared" si="25"/>
        <v>101.79000000000003</v>
      </c>
      <c r="L133" s="15" t="s">
        <v>300</v>
      </c>
      <c r="M133" s="15"/>
      <c r="N133" s="15"/>
      <c r="O133" s="15"/>
      <c r="P133" s="15"/>
      <c r="Q133" s="15"/>
      <c r="R133" s="15"/>
      <c r="S133" s="17">
        <f>+T133+U133</f>
        <v>190.23000000000005</v>
      </c>
      <c r="T133" s="12">
        <f>43.43+6.32+120.73-78.48-87.71-0.02</f>
        <v>4.2700000000000209</v>
      </c>
      <c r="U133" s="12">
        <f>46.87+52.49+110.93-14.45-1.36-0.79-7.73</f>
        <v>185.96000000000004</v>
      </c>
    </row>
    <row r="134" spans="1:26">
      <c r="A134" s="15" t="s">
        <v>246</v>
      </c>
      <c r="B134" s="18">
        <f t="shared" si="25"/>
        <v>0</v>
      </c>
      <c r="C134" s="18">
        <f t="shared" si="25"/>
        <v>0</v>
      </c>
      <c r="D134" s="18">
        <f t="shared" si="25"/>
        <v>0</v>
      </c>
      <c r="E134" s="18">
        <f t="shared" si="25"/>
        <v>0</v>
      </c>
      <c r="F134" s="18">
        <f t="shared" si="25"/>
        <v>0</v>
      </c>
      <c r="G134" s="18">
        <f t="shared" si="25"/>
        <v>0</v>
      </c>
      <c r="H134" s="18">
        <f t="shared" si="25"/>
        <v>5127.1399999999958</v>
      </c>
      <c r="I134" s="18">
        <f t="shared" si="25"/>
        <v>4154.7361332327146</v>
      </c>
      <c r="J134" s="18">
        <f t="shared" si="25"/>
        <v>972.4038667672819</v>
      </c>
      <c r="L134" s="15" t="s">
        <v>246</v>
      </c>
      <c r="M134" s="15"/>
      <c r="N134" s="15"/>
      <c r="O134" s="15"/>
      <c r="P134" s="15"/>
      <c r="Q134" s="15"/>
      <c r="R134" s="15"/>
      <c r="S134" s="17">
        <f>+S131+S132+S133</f>
        <v>16397.289999999997</v>
      </c>
      <c r="T134" s="28">
        <f>+T131+T132+T133</f>
        <v>13822.088758020718</v>
      </c>
      <c r="U134" s="29">
        <f>+U131+U132+U133</f>
        <v>2575.2012419792791</v>
      </c>
    </row>
    <row r="135" spans="1:26">
      <c r="L135" s="194" t="s">
        <v>319</v>
      </c>
      <c r="M135" s="195">
        <v>104.33</v>
      </c>
      <c r="N135" s="195">
        <f>+$M$135*N129/$M$129</f>
        <v>-87.71192333807582</v>
      </c>
      <c r="O135" s="195">
        <f>+$M$135*O129/$M$129</f>
        <v>-14.459674169480206</v>
      </c>
      <c r="P135" s="195">
        <f>+$M$135*P129/$M$129</f>
        <v>-1.3662372901314934</v>
      </c>
      <c r="Q135" s="195">
        <f>+$M$135*Q129/$M$129</f>
        <v>-0.79216520231247822</v>
      </c>
    </row>
    <row r="136" spans="1:26" ht="26">
      <c r="A136" s="38" t="s">
        <v>114</v>
      </c>
      <c r="L136" s="38" t="s">
        <v>114</v>
      </c>
      <c r="S136" t="s">
        <v>320</v>
      </c>
      <c r="T136">
        <v>78.48</v>
      </c>
      <c r="U136">
        <f>7.27+0.46</f>
        <v>7.7299999999999995</v>
      </c>
      <c r="V136" t="s">
        <v>321</v>
      </c>
      <c r="X136">
        <v>86.21</v>
      </c>
    </row>
    <row r="137" spans="1:26">
      <c r="A137" s="15" t="s">
        <v>115</v>
      </c>
      <c r="G137" s="12">
        <f>+R137-R84</f>
        <v>-34.170000000000016</v>
      </c>
      <c r="L137" s="15" t="s">
        <v>163</v>
      </c>
      <c r="R137" s="12">
        <f>124.23+65.41-34.17</f>
        <v>155.46999999999997</v>
      </c>
    </row>
    <row r="138" spans="1:26">
      <c r="A138" s="34" t="s">
        <v>116</v>
      </c>
      <c r="G138" s="12">
        <f>+R138-R85</f>
        <v>108.17000000000002</v>
      </c>
      <c r="L138" s="34" t="s">
        <v>116</v>
      </c>
      <c r="R138" s="12">
        <v>368.19</v>
      </c>
    </row>
    <row r="139" spans="1:26">
      <c r="A139" s="34" t="s">
        <v>117</v>
      </c>
      <c r="G139" s="12">
        <f>+R139-R86</f>
        <v>15.949999999999989</v>
      </c>
      <c r="L139" s="34" t="s">
        <v>117</v>
      </c>
      <c r="R139" s="12">
        <v>233.67</v>
      </c>
    </row>
    <row r="140" spans="1:26">
      <c r="A140" s="34" t="s">
        <v>119</v>
      </c>
      <c r="G140" s="12">
        <f>+R140-R87</f>
        <v>0</v>
      </c>
      <c r="L140" s="34" t="s">
        <v>119</v>
      </c>
      <c r="R140" s="12"/>
    </row>
    <row r="141" spans="1:26">
      <c r="A141" s="34" t="s">
        <v>24</v>
      </c>
      <c r="G141" s="12">
        <f>+R141-R88</f>
        <v>0</v>
      </c>
      <c r="H141">
        <f>SUM(G137:G141)</f>
        <v>89.949999999999989</v>
      </c>
      <c r="L141" s="34" t="s">
        <v>24</v>
      </c>
      <c r="R141" s="12"/>
      <c r="S141" s="6">
        <f>SUM(R137:R141)</f>
        <v>757.32999999999993</v>
      </c>
    </row>
    <row r="142" spans="1:26">
      <c r="A142" s="3" t="s">
        <v>120</v>
      </c>
      <c r="L142" s="3" t="s">
        <v>120</v>
      </c>
      <c r="Y142" s="6" t="s">
        <v>212</v>
      </c>
      <c r="Z142" s="6"/>
    </row>
    <row r="143" spans="1:26">
      <c r="A143" s="36" t="s">
        <v>123</v>
      </c>
      <c r="G143" s="12">
        <f>+R143-R90</f>
        <v>0</v>
      </c>
      <c r="L143" s="36" t="s">
        <v>167</v>
      </c>
      <c r="R143" s="18"/>
      <c r="V143" t="s">
        <v>211</v>
      </c>
      <c r="Y143" s="6">
        <v>16835.689999999999</v>
      </c>
      <c r="Z143" s="6"/>
    </row>
    <row r="144" spans="1:26">
      <c r="A144" s="34" t="s">
        <v>124</v>
      </c>
      <c r="G144" s="12">
        <f>+R144-R91</f>
        <v>13.829999999999998</v>
      </c>
      <c r="L144" s="34" t="s">
        <v>168</v>
      </c>
      <c r="R144" s="18">
        <v>41.48</v>
      </c>
      <c r="V144" t="s">
        <v>213</v>
      </c>
      <c r="Y144" s="6">
        <v>41.48</v>
      </c>
      <c r="Z144" s="6"/>
    </row>
    <row r="145" spans="1:26">
      <c r="A145" s="34" t="s">
        <v>121</v>
      </c>
      <c r="G145" s="12">
        <f>+R145-R92</f>
        <v>-9.17</v>
      </c>
      <c r="L145" s="34" t="s">
        <v>121</v>
      </c>
      <c r="R145" s="20">
        <v>-9.17</v>
      </c>
      <c r="V145" t="s">
        <v>214</v>
      </c>
      <c r="Y145" s="6">
        <v>332.67</v>
      </c>
      <c r="Z145" s="6"/>
    </row>
    <row r="146" spans="1:26">
      <c r="A146" s="34" t="s">
        <v>125</v>
      </c>
      <c r="G146" s="12">
        <f>+R146-R93</f>
        <v>-0.46</v>
      </c>
      <c r="L146" s="34" t="s">
        <v>125</v>
      </c>
      <c r="R146" s="20">
        <v>-0.46</v>
      </c>
      <c r="V146" t="s">
        <v>218</v>
      </c>
      <c r="Y146" s="6">
        <v>-7.0000000000000007E-2</v>
      </c>
      <c r="Z146" s="6"/>
    </row>
    <row r="147" spans="1:26">
      <c r="A147" s="34" t="s">
        <v>122</v>
      </c>
      <c r="G147" s="12">
        <f>+R147-R94</f>
        <v>-7.0000000000000007E-2</v>
      </c>
      <c r="H147" s="6">
        <f>SUM(G143:G147)</f>
        <v>4.1299999999999981</v>
      </c>
      <c r="J147" s="6"/>
      <c r="L147" s="34" t="s">
        <v>122</v>
      </c>
      <c r="R147" s="18">
        <v>-7.0000000000000007E-2</v>
      </c>
      <c r="S147" s="6">
        <f>SUM(R143:R147)</f>
        <v>31.779999999999994</v>
      </c>
      <c r="U147" s="6"/>
      <c r="V147" t="s">
        <v>220</v>
      </c>
      <c r="Y147" s="6">
        <v>111.02</v>
      </c>
      <c r="Z147" s="4">
        <f>SUM(Y144:Y147)</f>
        <v>485.1</v>
      </c>
    </row>
    <row r="148" spans="1:26" ht="26">
      <c r="A148" s="35" t="s">
        <v>114</v>
      </c>
      <c r="H148" s="3">
        <f>SUM(G137:G147)</f>
        <v>94.08</v>
      </c>
      <c r="I148">
        <f>SUM(G137:G141)</f>
        <v>89.949999999999989</v>
      </c>
      <c r="L148" s="35" t="s">
        <v>114</v>
      </c>
      <c r="S148" s="3">
        <f>SUM(R137:R147)</f>
        <v>789.1099999999999</v>
      </c>
      <c r="Y148" s="6">
        <f>+Y143-Y144-Y145-Y146-Y147</f>
        <v>16350.59</v>
      </c>
      <c r="Z148" s="6"/>
    </row>
    <row r="149" spans="1:26" ht="13">
      <c r="A149" s="35"/>
      <c r="L149" s="35"/>
      <c r="V149" t="s">
        <v>215</v>
      </c>
      <c r="Y149" s="6">
        <v>16446.41</v>
      </c>
      <c r="Z149" s="6"/>
    </row>
    <row r="150" spans="1:26">
      <c r="A150" s="5" t="s">
        <v>118</v>
      </c>
      <c r="H150" s="12">
        <f>+S150-S97</f>
        <v>-98.299999999999983</v>
      </c>
      <c r="I150">
        <f>+H150</f>
        <v>-98.299999999999983</v>
      </c>
      <c r="L150" s="5" t="s">
        <v>118</v>
      </c>
      <c r="S150" s="3">
        <v>-254.89</v>
      </c>
      <c r="V150" t="s">
        <v>216</v>
      </c>
      <c r="W150" t="s">
        <v>217</v>
      </c>
      <c r="Y150" s="6">
        <f>+Y148-Y149</f>
        <v>-95.819999999999709</v>
      </c>
      <c r="Z150" s="6"/>
    </row>
    <row r="151" spans="1:26" ht="13">
      <c r="A151" s="35" t="s">
        <v>126</v>
      </c>
      <c r="G151" s="3" t="s">
        <v>130</v>
      </c>
      <c r="H151" s="6">
        <f>+H131+H148+H150</f>
        <v>5558.2199999999966</v>
      </c>
      <c r="I151" s="6">
        <f>+H131+I148+I150</f>
        <v>5554.0899999999965</v>
      </c>
      <c r="J151" s="3" t="s">
        <v>131</v>
      </c>
      <c r="L151" s="35" t="s">
        <v>126</v>
      </c>
      <c r="R151" s="3" t="s">
        <v>165</v>
      </c>
      <c r="S151" s="6">
        <f>+S134+S148+S150</f>
        <v>16931.509999999998</v>
      </c>
      <c r="T151" s="6"/>
      <c r="U151" s="3"/>
    </row>
    <row r="152" spans="1:26">
      <c r="R152" t="s">
        <v>166</v>
      </c>
      <c r="S152">
        <f>-1693150965.42/100000</f>
        <v>-16931.509654199999</v>
      </c>
      <c r="T152">
        <v>16446.41</v>
      </c>
      <c r="U152" t="s">
        <v>164</v>
      </c>
    </row>
    <row r="153" spans="1:26">
      <c r="R153" t="s">
        <v>210</v>
      </c>
      <c r="S153" s="6">
        <f>+S151+S152</f>
        <v>3.4579999919515103E-4</v>
      </c>
      <c r="T153" s="6">
        <f>+T152-S151</f>
        <v>-485.09999999999854</v>
      </c>
      <c r="U153" t="s">
        <v>219</v>
      </c>
      <c r="X153" t="s">
        <v>221</v>
      </c>
      <c r="Y153" s="6">
        <v>13.65</v>
      </c>
    </row>
    <row r="154" spans="1:26">
      <c r="X154" t="s">
        <v>222</v>
      </c>
      <c r="Y154" s="6">
        <v>-9.17</v>
      </c>
    </row>
    <row r="155" spans="1:26">
      <c r="X155" t="s">
        <v>223</v>
      </c>
      <c r="Y155" s="6">
        <v>-0.46</v>
      </c>
    </row>
    <row r="156" spans="1:26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X156" t="s">
        <v>224</v>
      </c>
      <c r="Y156" s="6">
        <v>107</v>
      </c>
    </row>
    <row r="157" spans="1:26">
      <c r="Y157" s="4">
        <f>SUM(Y153:Y156)</f>
        <v>111.02</v>
      </c>
    </row>
    <row r="160" spans="1:26">
      <c r="A160" s="3" t="s">
        <v>95</v>
      </c>
      <c r="L160" s="3" t="s">
        <v>95</v>
      </c>
    </row>
    <row r="161" spans="1:21">
      <c r="A161" s="3" t="s">
        <v>127</v>
      </c>
      <c r="L161" s="3" t="s">
        <v>127</v>
      </c>
    </row>
    <row r="162" spans="1:21">
      <c r="A162" s="3"/>
      <c r="B162" s="3" t="s">
        <v>129</v>
      </c>
      <c r="C162" s="122" t="s">
        <v>193</v>
      </c>
      <c r="L162" s="3"/>
      <c r="M162" s="3" t="s">
        <v>92</v>
      </c>
      <c r="N162" s="122" t="str">
        <f>+C162</f>
        <v>Dec 05</v>
      </c>
    </row>
    <row r="163" spans="1:21">
      <c r="A163" s="3" t="s">
        <v>128</v>
      </c>
      <c r="B163" s="3" t="s">
        <v>97</v>
      </c>
      <c r="C163" s="3" t="s">
        <v>93</v>
      </c>
      <c r="D163" s="3" t="s">
        <v>98</v>
      </c>
      <c r="E163" s="3" t="s">
        <v>99</v>
      </c>
      <c r="F163" s="3" t="s">
        <v>100</v>
      </c>
      <c r="G163" s="3" t="s">
        <v>102</v>
      </c>
      <c r="H163" s="3" t="s">
        <v>91</v>
      </c>
      <c r="I163" s="3" t="s">
        <v>93</v>
      </c>
      <c r="J163" s="3" t="s">
        <v>94</v>
      </c>
      <c r="L163" s="3" t="s">
        <v>128</v>
      </c>
      <c r="M163" s="3" t="s">
        <v>97</v>
      </c>
      <c r="N163" s="3" t="s">
        <v>93</v>
      </c>
      <c r="O163" s="3" t="s">
        <v>98</v>
      </c>
      <c r="P163" s="3" t="s">
        <v>99</v>
      </c>
      <c r="Q163" s="3" t="s">
        <v>100</v>
      </c>
      <c r="R163" s="3" t="s">
        <v>102</v>
      </c>
      <c r="S163" s="3" t="s">
        <v>91</v>
      </c>
      <c r="T163" s="3" t="s">
        <v>93</v>
      </c>
      <c r="U163" s="3" t="s">
        <v>94</v>
      </c>
    </row>
    <row r="165" spans="1:21">
      <c r="A165" s="3" t="s">
        <v>17</v>
      </c>
      <c r="L165" s="3" t="s">
        <v>17</v>
      </c>
    </row>
    <row r="166" spans="1:21">
      <c r="N166" s="6"/>
    </row>
    <row r="167" spans="1:21">
      <c r="A167" t="s">
        <v>101</v>
      </c>
      <c r="B167" s="12">
        <f t="shared" ref="B167:J173" si="26">+M167-M114</f>
        <v>0</v>
      </c>
      <c r="C167" s="12">
        <f t="shared" si="26"/>
        <v>48329</v>
      </c>
      <c r="D167" s="12">
        <f t="shared" si="26"/>
        <v>8221</v>
      </c>
      <c r="E167" s="12">
        <f t="shared" si="26"/>
        <v>975</v>
      </c>
      <c r="F167" s="12">
        <f t="shared" si="26"/>
        <v>345</v>
      </c>
      <c r="G167" s="12">
        <f t="shared" si="26"/>
        <v>0</v>
      </c>
      <c r="H167" s="12">
        <f t="shared" si="26"/>
        <v>57870</v>
      </c>
      <c r="I167" s="12">
        <f t="shared" si="26"/>
        <v>48329</v>
      </c>
      <c r="J167" s="12">
        <f t="shared" si="26"/>
        <v>9541</v>
      </c>
      <c r="L167" t="s">
        <v>101</v>
      </c>
      <c r="M167" s="12">
        <v>0</v>
      </c>
      <c r="N167" s="12">
        <v>188466</v>
      </c>
      <c r="O167" s="12">
        <v>33014</v>
      </c>
      <c r="P167" s="12">
        <v>3354</v>
      </c>
      <c r="Q167" s="12">
        <v>1637</v>
      </c>
      <c r="R167" s="12">
        <v>0</v>
      </c>
      <c r="S167" s="16">
        <f>SUM(M167:R167)</f>
        <v>226471</v>
      </c>
      <c r="T167" s="30">
        <f>+N167</f>
        <v>188466</v>
      </c>
      <c r="U167" s="32">
        <f t="shared" ref="U167:U173" si="27">+O167+P167+Q167</f>
        <v>38005</v>
      </c>
    </row>
    <row r="168" spans="1:21">
      <c r="A168" t="s">
        <v>103</v>
      </c>
      <c r="B168" s="18">
        <f t="shared" si="26"/>
        <v>0</v>
      </c>
      <c r="C168" s="18">
        <f t="shared" si="26"/>
        <v>38453.530000000013</v>
      </c>
      <c r="D168" s="18">
        <f t="shared" si="26"/>
        <v>5849.34</v>
      </c>
      <c r="E168" s="18">
        <f t="shared" si="26"/>
        <v>663.69999999999982</v>
      </c>
      <c r="F168" s="18">
        <f t="shared" si="26"/>
        <v>243.06000000000006</v>
      </c>
      <c r="G168" s="18">
        <f t="shared" si="26"/>
        <v>0</v>
      </c>
      <c r="H168" s="18">
        <f t="shared" si="26"/>
        <v>45209.630000000019</v>
      </c>
      <c r="I168" s="18">
        <f t="shared" si="26"/>
        <v>38453.530000000013</v>
      </c>
      <c r="J168" s="18">
        <f t="shared" si="26"/>
        <v>6756.1000000000022</v>
      </c>
      <c r="L168" t="s">
        <v>103</v>
      </c>
      <c r="M168" s="18">
        <v>0</v>
      </c>
      <c r="N168" s="18">
        <v>144740.64000000001</v>
      </c>
      <c r="O168" s="18">
        <v>22805.39</v>
      </c>
      <c r="P168" s="18">
        <v>2071.16</v>
      </c>
      <c r="Q168" s="18">
        <v>1159.1500000000001</v>
      </c>
      <c r="R168" s="18">
        <v>0</v>
      </c>
      <c r="S168" s="17">
        <f>SUM(M168:R168)</f>
        <v>170776.34000000003</v>
      </c>
      <c r="T168" s="31">
        <f>+N168</f>
        <v>144740.64000000001</v>
      </c>
      <c r="U168" s="33">
        <f t="shared" si="27"/>
        <v>26035.7</v>
      </c>
    </row>
    <row r="169" spans="1:21">
      <c r="A169" t="s">
        <v>104</v>
      </c>
      <c r="B169" s="18">
        <f t="shared" si="26"/>
        <v>0</v>
      </c>
      <c r="C169" s="18">
        <f t="shared" si="26"/>
        <v>-766.15999999999985</v>
      </c>
      <c r="D169" s="18">
        <f t="shared" si="26"/>
        <v>-4.4700000000000024</v>
      </c>
      <c r="E169" s="18">
        <f t="shared" si="26"/>
        <v>-5.7399999999999984</v>
      </c>
      <c r="F169" s="18">
        <f t="shared" si="26"/>
        <v>1.0000000000000009E-2</v>
      </c>
      <c r="G169" s="18">
        <f t="shared" si="26"/>
        <v>0</v>
      </c>
      <c r="H169" s="18">
        <f t="shared" si="26"/>
        <v>-776.35999999999922</v>
      </c>
      <c r="I169" s="18">
        <f t="shared" si="26"/>
        <v>-766.15999999999985</v>
      </c>
      <c r="J169" s="18">
        <f t="shared" si="26"/>
        <v>-10.200000000000003</v>
      </c>
      <c r="L169" t="s">
        <v>104</v>
      </c>
      <c r="M169" s="18">
        <v>0</v>
      </c>
      <c r="N169" s="18">
        <v>-3895.18</v>
      </c>
      <c r="O169" s="18">
        <v>-24.35</v>
      </c>
      <c r="P169" s="18">
        <v>-17.22</v>
      </c>
      <c r="Q169" s="18">
        <v>-0.52</v>
      </c>
      <c r="R169" s="18">
        <v>0</v>
      </c>
      <c r="S169" s="17">
        <f>SUM(M169:R169)</f>
        <v>-3937.2699999999995</v>
      </c>
      <c r="T169" s="31">
        <f>+N169</f>
        <v>-3895.18</v>
      </c>
      <c r="U169" s="33">
        <f t="shared" si="27"/>
        <v>-42.09</v>
      </c>
    </row>
    <row r="170" spans="1:21">
      <c r="A170" t="s">
        <v>105</v>
      </c>
      <c r="B170" s="18">
        <f t="shared" si="26"/>
        <v>0</v>
      </c>
      <c r="C170" s="18">
        <f t="shared" si="26"/>
        <v>37687.370000000024</v>
      </c>
      <c r="D170" s="18">
        <f t="shared" si="26"/>
        <v>5844.8700000000026</v>
      </c>
      <c r="E170" s="18">
        <f t="shared" si="26"/>
        <v>657.96</v>
      </c>
      <c r="F170" s="18">
        <f t="shared" si="26"/>
        <v>243.07000000000005</v>
      </c>
      <c r="G170" s="18">
        <f t="shared" si="26"/>
        <v>0</v>
      </c>
      <c r="H170" s="18">
        <f t="shared" si="26"/>
        <v>44433.270000000033</v>
      </c>
      <c r="I170" s="18">
        <f t="shared" si="26"/>
        <v>37687.370000000024</v>
      </c>
      <c r="J170" s="18">
        <f t="shared" si="26"/>
        <v>6745.9000000000015</v>
      </c>
      <c r="L170" t="s">
        <v>105</v>
      </c>
      <c r="M170" s="17">
        <f t="shared" ref="M170:T170" si="28">+M168+M169</f>
        <v>0</v>
      </c>
      <c r="N170" s="17">
        <f t="shared" si="28"/>
        <v>140845.46000000002</v>
      </c>
      <c r="O170" s="17">
        <f t="shared" si="28"/>
        <v>22781.040000000001</v>
      </c>
      <c r="P170" s="17">
        <f t="shared" si="28"/>
        <v>2053.94</v>
      </c>
      <c r="Q170" s="17">
        <f t="shared" si="28"/>
        <v>1158.6300000000001</v>
      </c>
      <c r="R170" s="17">
        <f t="shared" si="28"/>
        <v>0</v>
      </c>
      <c r="S170" s="17">
        <f t="shared" si="28"/>
        <v>166839.07000000004</v>
      </c>
      <c r="T170" s="31">
        <f t="shared" si="28"/>
        <v>140845.46000000002</v>
      </c>
      <c r="U170" s="33">
        <f t="shared" si="27"/>
        <v>25993.61</v>
      </c>
    </row>
    <row r="171" spans="1:21">
      <c r="A171" t="s">
        <v>106</v>
      </c>
      <c r="B171" s="18">
        <f t="shared" si="26"/>
        <v>0</v>
      </c>
      <c r="C171" s="18">
        <f t="shared" si="26"/>
        <v>-5406.3900000000012</v>
      </c>
      <c r="D171" s="18">
        <f t="shared" si="26"/>
        <v>-830.35000000000036</v>
      </c>
      <c r="E171" s="18">
        <f t="shared" si="26"/>
        <v>-93.28</v>
      </c>
      <c r="F171" s="18">
        <f t="shared" si="26"/>
        <v>-27.760000000000005</v>
      </c>
      <c r="G171" s="18">
        <f t="shared" si="26"/>
        <v>0</v>
      </c>
      <c r="H171" s="18">
        <f t="shared" si="26"/>
        <v>-6357.7799999999988</v>
      </c>
      <c r="I171" s="18">
        <f t="shared" si="26"/>
        <v>-5406.3900000000012</v>
      </c>
      <c r="J171" s="18">
        <f t="shared" si="26"/>
        <v>-951.39000000000078</v>
      </c>
      <c r="L171" t="s">
        <v>106</v>
      </c>
      <c r="M171" s="18">
        <v>0</v>
      </c>
      <c r="N171" s="18">
        <v>-20452.150000000001</v>
      </c>
      <c r="O171" s="18">
        <v>-3148.78</v>
      </c>
      <c r="P171" s="18">
        <v>-303.86</v>
      </c>
      <c r="Q171" s="18">
        <v>-127.17</v>
      </c>
      <c r="R171" s="18">
        <v>0</v>
      </c>
      <c r="S171" s="17">
        <f>SUM(M171:R171)</f>
        <v>-24031.96</v>
      </c>
      <c r="T171" s="31">
        <f>+N171</f>
        <v>-20452.150000000001</v>
      </c>
      <c r="U171" s="33">
        <f t="shared" si="27"/>
        <v>-3579.8100000000004</v>
      </c>
    </row>
    <row r="172" spans="1:21">
      <c r="A172" t="s">
        <v>107</v>
      </c>
      <c r="B172" s="18">
        <f t="shared" si="26"/>
        <v>0</v>
      </c>
      <c r="C172" s="18">
        <f t="shared" si="26"/>
        <v>-5371.5098470257435</v>
      </c>
      <c r="D172" s="18">
        <f t="shared" si="26"/>
        <v>-825.00147627016122</v>
      </c>
      <c r="E172" s="18">
        <f t="shared" si="26"/>
        <v>-92.622686438198741</v>
      </c>
      <c r="F172" s="18">
        <f t="shared" si="26"/>
        <v>-27.60599026589955</v>
      </c>
      <c r="G172" s="18">
        <f t="shared" si="26"/>
        <v>0</v>
      </c>
      <c r="H172" s="18">
        <f t="shared" si="26"/>
        <v>-6316.739999999998</v>
      </c>
      <c r="I172" s="18">
        <f t="shared" si="26"/>
        <v>-5371.5098470257435</v>
      </c>
      <c r="J172" s="18">
        <f t="shared" si="26"/>
        <v>-945.23015297425945</v>
      </c>
      <c r="L172" t="s">
        <v>107</v>
      </c>
      <c r="M172" s="17">
        <f>+M171*$S$172/$S$171</f>
        <v>0</v>
      </c>
      <c r="N172" s="17">
        <f>+N171*$S$172/$S$171</f>
        <v>-20255.747077516779</v>
      </c>
      <c r="O172" s="17">
        <f>+O171*$S$172/$S$171</f>
        <v>-3118.5421230894199</v>
      </c>
      <c r="P172" s="17">
        <f>+P171*$S$172/$S$171</f>
        <v>-300.94201866181538</v>
      </c>
      <c r="Q172" s="17">
        <f>+Q171*$S$172/$S$171</f>
        <v>-125.9487807319919</v>
      </c>
      <c r="R172" s="17">
        <f>+R171*$H$13/$H$12</f>
        <v>0</v>
      </c>
      <c r="S172" s="18">
        <v>-23801.18</v>
      </c>
      <c r="T172" s="31">
        <f>+N172</f>
        <v>-20255.747077516779</v>
      </c>
      <c r="U172" s="33">
        <f t="shared" si="27"/>
        <v>-3545.4329224832272</v>
      </c>
    </row>
    <row r="173" spans="1:21">
      <c r="A173" t="s">
        <v>39</v>
      </c>
      <c r="B173" s="18">
        <f t="shared" si="26"/>
        <v>0</v>
      </c>
      <c r="C173" s="18">
        <f t="shared" si="26"/>
        <v>32315.860152974288</v>
      </c>
      <c r="D173" s="18">
        <f t="shared" si="26"/>
        <v>5019.8685237298414</v>
      </c>
      <c r="E173" s="18">
        <f t="shared" si="26"/>
        <v>565.33731356180124</v>
      </c>
      <c r="F173" s="18">
        <f t="shared" si="26"/>
        <v>215.46400973410039</v>
      </c>
      <c r="G173" s="18">
        <f t="shared" si="26"/>
        <v>0</v>
      </c>
      <c r="H173" s="18">
        <f t="shared" si="26"/>
        <v>38116.530000000042</v>
      </c>
      <c r="I173" s="18">
        <f t="shared" si="26"/>
        <v>32315.860152974288</v>
      </c>
      <c r="J173" s="18">
        <f t="shared" si="26"/>
        <v>5800.6698470257434</v>
      </c>
      <c r="L173" t="s">
        <v>39</v>
      </c>
      <c r="M173" s="6">
        <f t="shared" ref="M173:R173" si="29">+M170+M172</f>
        <v>0</v>
      </c>
      <c r="N173" s="6">
        <f t="shared" si="29"/>
        <v>120589.71292248325</v>
      </c>
      <c r="O173" s="6">
        <f t="shared" si="29"/>
        <v>19662.49787691058</v>
      </c>
      <c r="P173" s="6">
        <f t="shared" si="29"/>
        <v>1752.9979813381847</v>
      </c>
      <c r="Q173" s="6">
        <f t="shared" si="29"/>
        <v>1032.6812192680081</v>
      </c>
      <c r="R173" s="6">
        <f t="shared" si="29"/>
        <v>0</v>
      </c>
      <c r="S173" s="17">
        <f>SUM(M173:R173)</f>
        <v>143037.89000000001</v>
      </c>
      <c r="T173" s="28">
        <f>+N173</f>
        <v>120589.71292248325</v>
      </c>
      <c r="U173" s="29">
        <f t="shared" si="27"/>
        <v>22448.177077516772</v>
      </c>
    </row>
    <row r="176" spans="1:21">
      <c r="A176" s="3" t="s">
        <v>20</v>
      </c>
      <c r="L176" s="3" t="s">
        <v>20</v>
      </c>
      <c r="M176" s="3" t="s">
        <v>181</v>
      </c>
      <c r="N176" s="6"/>
    </row>
    <row r="178" spans="1:23">
      <c r="A178" t="s">
        <v>108</v>
      </c>
      <c r="B178" s="18">
        <f t="shared" ref="B178:J184" si="30">+M178-M125</f>
        <v>3021.4600000000009</v>
      </c>
      <c r="C178" s="18">
        <f t="shared" si="30"/>
        <v>9146.7700000000041</v>
      </c>
      <c r="D178" s="18">
        <f t="shared" si="30"/>
        <v>1441.33</v>
      </c>
      <c r="E178" s="18">
        <f t="shared" si="30"/>
        <v>144.91999999999999</v>
      </c>
      <c r="F178" s="18">
        <f t="shared" si="30"/>
        <v>44.050000000000011</v>
      </c>
      <c r="G178" s="18">
        <f t="shared" si="30"/>
        <v>0</v>
      </c>
      <c r="H178" s="18">
        <f t="shared" si="30"/>
        <v>13798.529999999992</v>
      </c>
      <c r="I178" s="18">
        <f t="shared" si="30"/>
        <v>9146.7700000000041</v>
      </c>
      <c r="J178" s="18">
        <f t="shared" si="30"/>
        <v>1630.3000000000002</v>
      </c>
      <c r="L178" t="s">
        <v>108</v>
      </c>
      <c r="M178" s="18">
        <v>12120.35</v>
      </c>
      <c r="N178" s="18">
        <v>35332.620000000003</v>
      </c>
      <c r="O178" s="18">
        <v>6103.48</v>
      </c>
      <c r="P178" s="18">
        <v>384.07</v>
      </c>
      <c r="Q178" s="18">
        <v>316.88</v>
      </c>
      <c r="R178" s="18">
        <v>0</v>
      </c>
      <c r="S178" s="17">
        <f>SUM(M178:R178)</f>
        <v>54257.399999999994</v>
      </c>
      <c r="T178" s="31">
        <f>+N178</f>
        <v>35332.620000000003</v>
      </c>
      <c r="U178" s="33">
        <f t="shared" ref="U178:U183" si="31">+O178+P178+Q178</f>
        <v>6804.4299999999994</v>
      </c>
    </row>
    <row r="179" spans="1:23">
      <c r="A179" t="s">
        <v>109</v>
      </c>
      <c r="B179" s="18">
        <f t="shared" si="30"/>
        <v>-2695.7800000000007</v>
      </c>
      <c r="C179" s="18">
        <f t="shared" si="30"/>
        <v>-6308.27</v>
      </c>
      <c r="D179" s="18">
        <f t="shared" si="30"/>
        <v>-910.34999999999991</v>
      </c>
      <c r="E179" s="18">
        <f t="shared" si="30"/>
        <v>-58.799999999999955</v>
      </c>
      <c r="F179" s="18">
        <f t="shared" si="30"/>
        <v>-23.580000000000013</v>
      </c>
      <c r="G179" s="18">
        <f t="shared" si="30"/>
        <v>-67.66</v>
      </c>
      <c r="H179" s="18">
        <f t="shared" si="30"/>
        <v>-10064.440000000006</v>
      </c>
      <c r="I179" s="18">
        <f t="shared" si="30"/>
        <v>-6308.27</v>
      </c>
      <c r="J179" s="18">
        <f t="shared" si="30"/>
        <v>-992.72999999999956</v>
      </c>
      <c r="L179" t="s">
        <v>109</v>
      </c>
      <c r="M179" s="18">
        <f>-9661.94-82</f>
        <v>-9743.94</v>
      </c>
      <c r="N179" s="18">
        <f>-19176.04+462.14</f>
        <v>-18713.900000000001</v>
      </c>
      <c r="O179" s="18">
        <f>-3402.34+41.19</f>
        <v>-3361.15</v>
      </c>
      <c r="P179" s="18">
        <f>-267.51+3.41</f>
        <v>-264.09999999999997</v>
      </c>
      <c r="Q179" s="18">
        <f>-160.73+1.78</f>
        <v>-158.94999999999999</v>
      </c>
      <c r="R179" s="18">
        <v>-202.1</v>
      </c>
      <c r="S179" s="17">
        <f>SUM(M179:R179)</f>
        <v>-32444.140000000003</v>
      </c>
      <c r="T179" s="31">
        <f>+N179</f>
        <v>-18713.900000000001</v>
      </c>
      <c r="U179" s="33">
        <f t="shared" si="31"/>
        <v>-3784.2</v>
      </c>
      <c r="W179" t="s">
        <v>236</v>
      </c>
    </row>
    <row r="180" spans="1:23">
      <c r="A180" t="s">
        <v>110</v>
      </c>
      <c r="B180" s="18">
        <f t="shared" si="30"/>
        <v>0</v>
      </c>
      <c r="C180" s="18">
        <f t="shared" si="30"/>
        <v>-56.441576628020528</v>
      </c>
      <c r="D180" s="18">
        <f t="shared" si="30"/>
        <v>-9.6917172543010928</v>
      </c>
      <c r="E180" s="18">
        <f t="shared" si="30"/>
        <v>-1.0960891035932254</v>
      </c>
      <c r="F180" s="18">
        <f t="shared" si="30"/>
        <v>-0.43061701408516506</v>
      </c>
      <c r="G180" s="18">
        <f t="shared" si="30"/>
        <v>67.66</v>
      </c>
      <c r="H180" s="18">
        <f t="shared" si="30"/>
        <v>0</v>
      </c>
      <c r="I180" s="18">
        <f t="shared" si="30"/>
        <v>-56.441576628020528</v>
      </c>
      <c r="J180" s="18">
        <f t="shared" si="30"/>
        <v>-11.218423371979483</v>
      </c>
      <c r="L180" t="s">
        <v>110</v>
      </c>
      <c r="M180" s="17">
        <f>+M167*$R$179/$S$167</f>
        <v>0</v>
      </c>
      <c r="N180" s="17">
        <f>+N167*$R$179/$S$167</f>
        <v>-168.18479452115284</v>
      </c>
      <c r="O180" s="17">
        <f>+O167*$R$179/$S$167</f>
        <v>-29.461297031407991</v>
      </c>
      <c r="P180" s="17">
        <f>+P167*$R$179/$S$167</f>
        <v>-2.993069311302551</v>
      </c>
      <c r="Q180" s="17">
        <f>+Q167*$R$179/$S$167</f>
        <v>-1.4608391361366357</v>
      </c>
      <c r="R180" s="17">
        <f>-SUM(N180:Q180)</f>
        <v>202.1</v>
      </c>
      <c r="S180" s="17">
        <f>SUM(M180:R180)</f>
        <v>0</v>
      </c>
      <c r="T180" s="31">
        <f>+N180</f>
        <v>-168.18479452115284</v>
      </c>
      <c r="U180" s="33">
        <f t="shared" si="31"/>
        <v>-33.915205478847177</v>
      </c>
    </row>
    <row r="181" spans="1:23">
      <c r="A181" t="s">
        <v>112</v>
      </c>
      <c r="B181" s="18">
        <f t="shared" si="30"/>
        <v>325.68000000000029</v>
      </c>
      <c r="C181" s="18">
        <f t="shared" si="30"/>
        <v>2782.0584233719837</v>
      </c>
      <c r="D181" s="18">
        <f t="shared" si="30"/>
        <v>521.28828274569923</v>
      </c>
      <c r="E181" s="18">
        <f t="shared" si="30"/>
        <v>85.023910896406818</v>
      </c>
      <c r="F181" s="18">
        <f t="shared" si="30"/>
        <v>20.039382985914841</v>
      </c>
      <c r="G181" s="18">
        <f t="shared" si="30"/>
        <v>0</v>
      </c>
      <c r="H181" s="18">
        <f t="shared" si="30"/>
        <v>3734.0899999999856</v>
      </c>
      <c r="I181" s="18">
        <f t="shared" si="30"/>
        <v>2782.0584233719837</v>
      </c>
      <c r="J181" s="18">
        <f t="shared" si="30"/>
        <v>626.35157662802021</v>
      </c>
      <c r="L181" t="s">
        <v>112</v>
      </c>
      <c r="M181" s="17">
        <f t="shared" ref="M181:T181" si="32">SUM(M178:M180)</f>
        <v>2376.41</v>
      </c>
      <c r="N181" s="17">
        <f t="shared" si="32"/>
        <v>16450.535205478849</v>
      </c>
      <c r="O181" s="17">
        <f t="shared" si="32"/>
        <v>2712.8687029685916</v>
      </c>
      <c r="P181" s="17">
        <f t="shared" si="32"/>
        <v>116.97693068869748</v>
      </c>
      <c r="Q181" s="17">
        <f t="shared" si="32"/>
        <v>156.46916086386338</v>
      </c>
      <c r="R181" s="17">
        <f t="shared" si="32"/>
        <v>0</v>
      </c>
      <c r="S181" s="17">
        <f t="shared" si="32"/>
        <v>21813.259999999991</v>
      </c>
      <c r="T181" s="31">
        <f t="shared" si="32"/>
        <v>16450.535205478849</v>
      </c>
      <c r="U181" s="33">
        <f t="shared" si="31"/>
        <v>2986.3147945211522</v>
      </c>
    </row>
    <row r="182" spans="1:23">
      <c r="A182" t="s">
        <v>113</v>
      </c>
      <c r="B182" s="18">
        <f t="shared" si="30"/>
        <v>26582.61</v>
      </c>
      <c r="C182" s="18">
        <f t="shared" si="30"/>
        <v>-22462.35</v>
      </c>
      <c r="D182" s="18">
        <f t="shared" si="30"/>
        <v>-3540.8500000000004</v>
      </c>
      <c r="E182" s="18">
        <f t="shared" si="30"/>
        <v>-414.16999999999996</v>
      </c>
      <c r="F182" s="18">
        <f t="shared" si="30"/>
        <v>-165.24</v>
      </c>
      <c r="G182" s="18">
        <f t="shared" si="30"/>
        <v>0</v>
      </c>
      <c r="H182" s="18">
        <f t="shared" si="30"/>
        <v>1.7053025658242404E-12</v>
      </c>
      <c r="I182" s="18">
        <f t="shared" si="30"/>
        <v>-22462.35</v>
      </c>
      <c r="J182" s="18">
        <f t="shared" si="30"/>
        <v>-4120.26</v>
      </c>
      <c r="L182" t="s">
        <v>113</v>
      </c>
      <c r="M182" s="18">
        <v>98085.119999999995</v>
      </c>
      <c r="N182" s="18">
        <v>-82575.67</v>
      </c>
      <c r="O182" s="18">
        <v>-13450.78</v>
      </c>
      <c r="P182" s="18">
        <v>-1350.52</v>
      </c>
      <c r="Q182" s="18">
        <v>-708.15</v>
      </c>
      <c r="R182" s="18">
        <v>0</v>
      </c>
      <c r="S182" s="17">
        <f>SUM(M182:R182)</f>
        <v>-3.5242919693700969E-12</v>
      </c>
      <c r="T182" s="31">
        <f>+N182</f>
        <v>-82575.67</v>
      </c>
      <c r="U182" s="33">
        <f t="shared" si="31"/>
        <v>-15509.45</v>
      </c>
    </row>
    <row r="183" spans="1:23">
      <c r="A183" t="s">
        <v>111</v>
      </c>
      <c r="B183" s="18">
        <f t="shared" si="30"/>
        <v>-325.68000000000029</v>
      </c>
      <c r="C183" s="18">
        <f t="shared" si="30"/>
        <v>276.56448243477394</v>
      </c>
      <c r="D183" s="18">
        <f t="shared" si="30"/>
        <v>41.663946107712491</v>
      </c>
      <c r="E183" s="18">
        <f t="shared" si="30"/>
        <v>5.8654338828606107</v>
      </c>
      <c r="F183" s="18">
        <f t="shared" si="30"/>
        <v>1.5861375746532893</v>
      </c>
      <c r="G183" s="18">
        <f t="shared" si="30"/>
        <v>0</v>
      </c>
      <c r="H183" s="18">
        <f t="shared" si="30"/>
        <v>3.5527136788005009E-14</v>
      </c>
      <c r="I183" s="18">
        <f t="shared" si="30"/>
        <v>276.56448243477394</v>
      </c>
      <c r="J183" s="18">
        <f t="shared" si="30"/>
        <v>49.115517565226412</v>
      </c>
      <c r="L183" t="s">
        <v>111</v>
      </c>
      <c r="M183" s="18">
        <f>-SUM(N183:R183)</f>
        <v>-2376.41</v>
      </c>
      <c r="N183" s="17">
        <f>+$M$181*(-N182)/$M$182</f>
        <v>2000.6464583486261</v>
      </c>
      <c r="O183" s="17">
        <f>+$M$181*(-O182)/$M$182</f>
        <v>325.88600696823329</v>
      </c>
      <c r="P183" s="17">
        <f>+$M$181*(-P182)/$M$182</f>
        <v>32.720449678809587</v>
      </c>
      <c r="Q183" s="17">
        <f>+$M$181*(-Q182)/$M$182</f>
        <v>17.157085004330931</v>
      </c>
      <c r="R183" s="17">
        <f>+$M$181*(-R182)/$M$182</f>
        <v>0</v>
      </c>
      <c r="S183" s="17">
        <f>SUM(M183:R183)</f>
        <v>3.5527136788005009E-14</v>
      </c>
      <c r="T183" s="31">
        <f>+N183</f>
        <v>2000.6464583486261</v>
      </c>
      <c r="U183" s="33">
        <f t="shared" si="31"/>
        <v>375.76354165137383</v>
      </c>
    </row>
    <row r="184" spans="1:23">
      <c r="A184" s="15" t="s">
        <v>20</v>
      </c>
      <c r="B184" s="18">
        <f t="shared" si="30"/>
        <v>0</v>
      </c>
      <c r="C184" s="18">
        <f t="shared" si="30"/>
        <v>3058.6229058067584</v>
      </c>
      <c r="D184" s="18">
        <f t="shared" si="30"/>
        <v>562.95222885341173</v>
      </c>
      <c r="E184" s="18">
        <f t="shared" si="30"/>
        <v>90.889344779267418</v>
      </c>
      <c r="F184" s="18">
        <f t="shared" si="30"/>
        <v>21.625520560568134</v>
      </c>
      <c r="G184" s="18">
        <f t="shared" si="30"/>
        <v>0</v>
      </c>
      <c r="H184" s="18">
        <f t="shared" si="30"/>
        <v>3734.0900000000038</v>
      </c>
      <c r="I184" s="18">
        <f t="shared" si="30"/>
        <v>3058.6229058067584</v>
      </c>
      <c r="J184" s="18">
        <f t="shared" si="30"/>
        <v>675.46709419324725</v>
      </c>
      <c r="L184" s="15" t="s">
        <v>20</v>
      </c>
      <c r="M184" s="18">
        <f t="shared" ref="M184:R184" si="33">+M181+M183</f>
        <v>0</v>
      </c>
      <c r="N184" s="18">
        <f t="shared" si="33"/>
        <v>18451.181663827476</v>
      </c>
      <c r="O184" s="18">
        <f t="shared" si="33"/>
        <v>3038.7547099368248</v>
      </c>
      <c r="P184" s="18">
        <f t="shared" si="33"/>
        <v>149.69738036750707</v>
      </c>
      <c r="Q184" s="18">
        <f t="shared" si="33"/>
        <v>173.6262458681943</v>
      </c>
      <c r="R184" s="18">
        <f t="shared" si="33"/>
        <v>0</v>
      </c>
      <c r="S184" s="17">
        <f>SUM(M184:R184)</f>
        <v>21813.260000000002</v>
      </c>
      <c r="T184" s="28">
        <f>+N184</f>
        <v>18451.181663827476</v>
      </c>
      <c r="U184" s="29">
        <f>+O184+P184+Q184</f>
        <v>3362.0783361725262</v>
      </c>
    </row>
    <row r="185" spans="1:23">
      <c r="A185" s="15" t="s">
        <v>245</v>
      </c>
      <c r="B185" s="18">
        <f t="shared" ref="B185:H187" si="34">+M185-M132</f>
        <v>0</v>
      </c>
      <c r="C185" s="18">
        <f t="shared" si="34"/>
        <v>0</v>
      </c>
      <c r="D185" s="18">
        <f t="shared" si="34"/>
        <v>0</v>
      </c>
      <c r="E185" s="18">
        <f t="shared" si="34"/>
        <v>0</v>
      </c>
      <c r="F185" s="18">
        <f t="shared" si="34"/>
        <v>0</v>
      </c>
      <c r="G185" s="18">
        <f t="shared" si="34"/>
        <v>0</v>
      </c>
      <c r="H185" s="18">
        <f t="shared" si="34"/>
        <v>-468.13999999999987</v>
      </c>
      <c r="I185" s="18">
        <f t="shared" ref="I185:J187" si="35">+T185-T132</f>
        <v>-381.09999999999991</v>
      </c>
      <c r="J185" s="18">
        <f t="shared" si="35"/>
        <v>-87.04000000000002</v>
      </c>
      <c r="L185" s="15" t="s">
        <v>245</v>
      </c>
      <c r="S185" s="17">
        <f>+T185+U185</f>
        <v>-2340.25</v>
      </c>
      <c r="T185" s="12">
        <v>-1955.84</v>
      </c>
      <c r="U185" s="12">
        <v>-384.41</v>
      </c>
    </row>
    <row r="186" spans="1:23">
      <c r="A186" s="15" t="s">
        <v>301</v>
      </c>
      <c r="B186" s="18">
        <f t="shared" si="34"/>
        <v>0</v>
      </c>
      <c r="C186" s="18">
        <f t="shared" si="34"/>
        <v>0</v>
      </c>
      <c r="D186" s="18">
        <f t="shared" si="34"/>
        <v>0</v>
      </c>
      <c r="E186" s="18">
        <f t="shared" si="34"/>
        <v>0</v>
      </c>
      <c r="F186" s="18">
        <f t="shared" si="34"/>
        <v>0</v>
      </c>
      <c r="G186" s="18">
        <f t="shared" si="34"/>
        <v>0</v>
      </c>
      <c r="H186" s="18">
        <f t="shared" si="34"/>
        <v>658.37</v>
      </c>
      <c r="I186" s="18">
        <f t="shared" si="35"/>
        <v>527.48</v>
      </c>
      <c r="J186" s="18">
        <f t="shared" si="35"/>
        <v>130.88999999999999</v>
      </c>
      <c r="L186" s="15" t="s">
        <v>301</v>
      </c>
      <c r="S186" s="17">
        <f>+T186+U186</f>
        <v>848.6</v>
      </c>
      <c r="T186" s="12">
        <f>683.75-152</f>
        <v>531.75</v>
      </c>
      <c r="U186" s="12">
        <f>336.04-19.19</f>
        <v>316.85000000000002</v>
      </c>
    </row>
    <row r="187" spans="1:23">
      <c r="A187" s="15" t="s">
        <v>246</v>
      </c>
      <c r="B187" s="18">
        <f t="shared" si="34"/>
        <v>0</v>
      </c>
      <c r="C187" s="18">
        <f t="shared" si="34"/>
        <v>0</v>
      </c>
      <c r="D187" s="18">
        <f t="shared" si="34"/>
        <v>0</v>
      </c>
      <c r="E187" s="18">
        <f t="shared" si="34"/>
        <v>0</v>
      </c>
      <c r="F187" s="18">
        <f t="shared" si="34"/>
        <v>0</v>
      </c>
      <c r="G187" s="18">
        <f t="shared" si="34"/>
        <v>0</v>
      </c>
      <c r="H187" s="18">
        <f t="shared" si="34"/>
        <v>3924.3200000000033</v>
      </c>
      <c r="I187" s="18">
        <f t="shared" si="35"/>
        <v>3205.0029058067576</v>
      </c>
      <c r="J187" s="18">
        <f t="shared" si="35"/>
        <v>719.31709419324716</v>
      </c>
      <c r="L187" s="15" t="s">
        <v>246</v>
      </c>
      <c r="S187" s="17">
        <f>+S184+S185+S186</f>
        <v>20321.61</v>
      </c>
      <c r="T187" s="28">
        <f>+T184+T185+T186</f>
        <v>17027.091663827476</v>
      </c>
      <c r="U187" s="29">
        <f>+U184+U185+U186</f>
        <v>3294.5183361725262</v>
      </c>
    </row>
    <row r="189" spans="1:23" ht="26">
      <c r="A189" s="38" t="s">
        <v>114</v>
      </c>
      <c r="L189" s="38" t="s">
        <v>114</v>
      </c>
    </row>
    <row r="190" spans="1:23">
      <c r="A190" s="15" t="s">
        <v>115</v>
      </c>
      <c r="G190" s="12">
        <f>+R190-R137</f>
        <v>-9.3700000000000614</v>
      </c>
      <c r="L190" s="15" t="s">
        <v>163</v>
      </c>
      <c r="R190" s="12">
        <f>1019.79+146.1-1019.79</f>
        <v>146.09999999999991</v>
      </c>
      <c r="T190" s="3"/>
    </row>
    <row r="191" spans="1:23">
      <c r="A191" s="34" t="s">
        <v>116</v>
      </c>
      <c r="G191" s="12">
        <f>+R191-R138</f>
        <v>138.74</v>
      </c>
      <c r="L191" s="34" t="s">
        <v>116</v>
      </c>
      <c r="R191" s="12">
        <v>506.93</v>
      </c>
    </row>
    <row r="192" spans="1:23">
      <c r="A192" s="34" t="s">
        <v>117</v>
      </c>
      <c r="G192" s="12">
        <f>+R192-R139</f>
        <v>17.850000000000023</v>
      </c>
      <c r="L192" s="34" t="s">
        <v>117</v>
      </c>
      <c r="R192" s="12">
        <v>251.52</v>
      </c>
    </row>
    <row r="193" spans="1:21">
      <c r="A193" s="34" t="s">
        <v>119</v>
      </c>
      <c r="G193" s="12">
        <f>+R193-R140</f>
        <v>0</v>
      </c>
      <c r="L193" s="34" t="s">
        <v>182</v>
      </c>
      <c r="R193" s="12"/>
    </row>
    <row r="194" spans="1:21">
      <c r="A194" s="34" t="s">
        <v>24</v>
      </c>
      <c r="G194" s="12">
        <f>+R194-R141</f>
        <v>0</v>
      </c>
      <c r="H194">
        <f>SUM(G190:G194)</f>
        <v>147.21999999999997</v>
      </c>
      <c r="L194" s="34" t="s">
        <v>24</v>
      </c>
      <c r="R194" s="12"/>
      <c r="S194">
        <f>SUM(R190:R194)</f>
        <v>904.55</v>
      </c>
    </row>
    <row r="195" spans="1:21">
      <c r="A195" s="3" t="s">
        <v>120</v>
      </c>
      <c r="L195" s="3" t="s">
        <v>120</v>
      </c>
    </row>
    <row r="196" spans="1:21">
      <c r="A196" s="36" t="s">
        <v>123</v>
      </c>
      <c r="G196" s="12">
        <f>+R196-R143</f>
        <v>55.3</v>
      </c>
      <c r="L196" s="36" t="s">
        <v>167</v>
      </c>
      <c r="R196" s="18">
        <v>55.3</v>
      </c>
    </row>
    <row r="197" spans="1:21">
      <c r="A197" s="34" t="s">
        <v>124</v>
      </c>
      <c r="G197" s="12">
        <f>+R197-R144</f>
        <v>-41.48</v>
      </c>
      <c r="L197" s="34" t="s">
        <v>168</v>
      </c>
      <c r="R197" s="18"/>
    </row>
    <row r="198" spans="1:21">
      <c r="A198" s="34" t="s">
        <v>121</v>
      </c>
      <c r="G198" s="12">
        <f>+R198-R145</f>
        <v>9.17</v>
      </c>
      <c r="L198" s="34" t="s">
        <v>121</v>
      </c>
      <c r="R198" s="12">
        <v>0</v>
      </c>
    </row>
    <row r="199" spans="1:21">
      <c r="A199" s="34" t="s">
        <v>125</v>
      </c>
      <c r="G199" s="12">
        <f>+R199-R146</f>
        <v>0.46</v>
      </c>
      <c r="L199" s="34" t="s">
        <v>125</v>
      </c>
      <c r="R199" s="12">
        <v>0</v>
      </c>
    </row>
    <row r="200" spans="1:21">
      <c r="A200" s="34" t="s">
        <v>122</v>
      </c>
      <c r="G200" s="12">
        <f>+R200-R147</f>
        <v>7.0000000000000007E-2</v>
      </c>
      <c r="H200" s="6">
        <f>SUM(G196:G200)</f>
        <v>23.520000000000003</v>
      </c>
      <c r="J200" s="6"/>
      <c r="L200" s="34" t="s">
        <v>122</v>
      </c>
      <c r="R200" s="18">
        <v>0</v>
      </c>
      <c r="S200" s="6">
        <f>SUM(R196:R200)</f>
        <v>55.3</v>
      </c>
      <c r="U200" s="6"/>
    </row>
    <row r="201" spans="1:21" ht="26">
      <c r="A201" s="35" t="s">
        <v>114</v>
      </c>
      <c r="H201" s="3">
        <f>SUM(G190:G200)</f>
        <v>170.73999999999998</v>
      </c>
      <c r="I201">
        <f>SUM(G190:G194)</f>
        <v>147.21999999999997</v>
      </c>
      <c r="L201" s="35" t="s">
        <v>114</v>
      </c>
      <c r="S201" s="3">
        <f>SUM(R190:R200)</f>
        <v>959.84999999999991</v>
      </c>
      <c r="T201">
        <f>SUM(R190:R194)</f>
        <v>904.55</v>
      </c>
    </row>
    <row r="202" spans="1:21">
      <c r="A202" s="78" t="s">
        <v>235</v>
      </c>
      <c r="H202">
        <v>82</v>
      </c>
      <c r="L202" s="78" t="s">
        <v>235</v>
      </c>
      <c r="S202" s="4">
        <v>82</v>
      </c>
      <c r="T202">
        <v>82</v>
      </c>
    </row>
    <row r="203" spans="1:21">
      <c r="A203" s="5" t="s">
        <v>118</v>
      </c>
      <c r="H203" s="12">
        <f>+S203-S150</f>
        <v>-46.360000000000014</v>
      </c>
      <c r="I203">
        <f>+H203</f>
        <v>-46.360000000000014</v>
      </c>
      <c r="L203" s="5" t="s">
        <v>118</v>
      </c>
      <c r="S203" s="3">
        <v>-301.25</v>
      </c>
      <c r="T203">
        <f>+S203</f>
        <v>-301.25</v>
      </c>
    </row>
    <row r="204" spans="1:21" ht="13">
      <c r="A204" s="35" t="s">
        <v>126</v>
      </c>
      <c r="G204" s="3" t="s">
        <v>130</v>
      </c>
      <c r="H204" s="6">
        <f>+H203+H201+H187+H202</f>
        <v>4130.7000000000035</v>
      </c>
      <c r="I204" s="6">
        <f>+I203+I201+I187+I202</f>
        <v>3305.8629058067577</v>
      </c>
      <c r="J204" s="3" t="s">
        <v>131</v>
      </c>
      <c r="L204" s="35" t="s">
        <v>126</v>
      </c>
      <c r="R204" s="3" t="s">
        <v>130</v>
      </c>
      <c r="S204" s="6">
        <f>+S203+S201+S187+S202</f>
        <v>21062.21</v>
      </c>
      <c r="T204" s="6">
        <f>+S184+T201+T203+T202</f>
        <v>22498.560000000001</v>
      </c>
    </row>
    <row r="205" spans="1:21">
      <c r="S205" s="6">
        <v>-21062.21</v>
      </c>
      <c r="T205" s="6">
        <v>508.52</v>
      </c>
      <c r="U205" t="s">
        <v>237</v>
      </c>
    </row>
    <row r="206" spans="1:21">
      <c r="I206" s="6"/>
      <c r="S206" s="6">
        <f>+S205+S204</f>
        <v>0</v>
      </c>
      <c r="T206" s="6">
        <f>+T204-T205</f>
        <v>21990.04</v>
      </c>
      <c r="U206" s="3" t="s">
        <v>131</v>
      </c>
    </row>
    <row r="207" spans="1:21">
      <c r="L207" t="s">
        <v>180</v>
      </c>
      <c r="M207" s="6">
        <v>-355</v>
      </c>
      <c r="N207" s="6">
        <f>+$M$207*N182/$M$182</f>
        <v>298.86656457166998</v>
      </c>
      <c r="O207" s="6">
        <f>+$M$207*O182/$M$182</f>
        <v>48.682480074449629</v>
      </c>
      <c r="P207" s="6">
        <f>+$M$207*P182/$M$182</f>
        <v>4.8879442671834425</v>
      </c>
      <c r="Q207" s="6">
        <f>+$M$207*Q182/$M$182</f>
        <v>2.5630110866969424</v>
      </c>
    </row>
    <row r="208" spans="1:21">
      <c r="O208" s="6">
        <f>+O207+P207+Q207</f>
        <v>56.133435428330017</v>
      </c>
    </row>
    <row r="210" spans="12:17">
      <c r="L210" t="s">
        <v>179</v>
      </c>
      <c r="M210" s="6">
        <v>-24</v>
      </c>
      <c r="N210" s="6">
        <v>20.29013367319935</v>
      </c>
      <c r="O210" s="6">
        <v>3.2785562141858069</v>
      </c>
      <c r="P210" s="6">
        <v>0.27587175401402148</v>
      </c>
      <c r="Q210" s="6">
        <v>0.15543835860082159</v>
      </c>
    </row>
    <row r="211" spans="12:17">
      <c r="O211" s="6">
        <v>3.70986632680065</v>
      </c>
    </row>
  </sheetData>
  <phoneticPr fontId="0" type="noConversion"/>
  <printOptions horizontalCentered="1" verticalCentered="1"/>
  <pageMargins left="0.17" right="0.17" top="0.18" bottom="0.16" header="0.2" footer="0.5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82"/>
  <sheetViews>
    <sheetView workbookViewId="0">
      <selection activeCell="A52" sqref="A52"/>
    </sheetView>
  </sheetViews>
  <sheetFormatPr baseColWidth="10" defaultColWidth="8.83203125" defaultRowHeight="12" x14ac:dyDescent="0"/>
  <cols>
    <col min="1" max="1" width="15.5" bestFit="1" customWidth="1"/>
    <col min="2" max="2" width="12.5" bestFit="1" customWidth="1"/>
    <col min="3" max="3" width="21.6640625" customWidth="1"/>
    <col min="4" max="4" width="20.83203125" style="134" customWidth="1"/>
    <col min="5" max="5" width="12.83203125" customWidth="1"/>
    <col min="6" max="6" width="12.6640625" customWidth="1"/>
    <col min="7" max="7" width="12.5" customWidth="1"/>
    <col min="8" max="8" width="4.1640625" customWidth="1"/>
    <col min="9" max="9" width="16" style="6" customWidth="1"/>
    <col min="10" max="10" width="14" style="6" bestFit="1" customWidth="1"/>
    <col min="11" max="12" width="12.83203125" style="6" bestFit="1" customWidth="1"/>
    <col min="13" max="13" width="12.83203125" bestFit="1" customWidth="1"/>
    <col min="14" max="14" width="2.5" customWidth="1"/>
    <col min="15" max="18" width="12.83203125" bestFit="1" customWidth="1"/>
  </cols>
  <sheetData>
    <row r="1" spans="1:8">
      <c r="C1" s="3" t="s">
        <v>253</v>
      </c>
      <c r="D1"/>
      <c r="E1" s="134"/>
      <c r="F1" s="134"/>
      <c r="G1" s="134"/>
      <c r="H1" s="134"/>
    </row>
    <row r="2" spans="1:8" ht="13" thickBot="1">
      <c r="D2"/>
      <c r="E2" s="134"/>
      <c r="F2" s="134"/>
    </row>
    <row r="3" spans="1:8">
      <c r="C3" s="147">
        <v>2005</v>
      </c>
      <c r="D3" s="148">
        <v>2004</v>
      </c>
      <c r="E3" s="149">
        <v>2004</v>
      </c>
      <c r="F3" s="150"/>
    </row>
    <row r="4" spans="1:8" ht="13" thickBot="1">
      <c r="A4" t="s">
        <v>254</v>
      </c>
      <c r="B4" t="s">
        <v>255</v>
      </c>
      <c r="C4" s="151" t="s">
        <v>256</v>
      </c>
      <c r="D4" s="152" t="s">
        <v>256</v>
      </c>
      <c r="E4" s="153" t="s">
        <v>257</v>
      </c>
      <c r="F4" s="154"/>
    </row>
    <row r="5" spans="1:8">
      <c r="A5" t="s">
        <v>258</v>
      </c>
      <c r="B5" t="s">
        <v>259</v>
      </c>
      <c r="C5" s="155" t="s">
        <v>260</v>
      </c>
      <c r="D5" s="156" t="s">
        <v>261</v>
      </c>
      <c r="E5" s="157">
        <v>4676004</v>
      </c>
      <c r="F5" s="158"/>
    </row>
    <row r="6" spans="1:8">
      <c r="A6" t="s">
        <v>262</v>
      </c>
      <c r="B6" t="s">
        <v>259</v>
      </c>
      <c r="C6" s="159" t="s">
        <v>260</v>
      </c>
      <c r="D6" s="160" t="s">
        <v>263</v>
      </c>
      <c r="E6" s="161">
        <v>539004</v>
      </c>
      <c r="F6" s="158"/>
    </row>
    <row r="7" spans="1:8">
      <c r="A7" t="s">
        <v>262</v>
      </c>
      <c r="B7" t="s">
        <v>259</v>
      </c>
      <c r="C7" s="159" t="s">
        <v>260</v>
      </c>
      <c r="D7" s="160" t="s">
        <v>264</v>
      </c>
      <c r="E7" s="161">
        <v>170004</v>
      </c>
      <c r="F7" s="158"/>
    </row>
    <row r="8" spans="1:8">
      <c r="A8" t="s">
        <v>265</v>
      </c>
      <c r="B8" t="s">
        <v>266</v>
      </c>
      <c r="C8" s="159" t="s">
        <v>260</v>
      </c>
      <c r="D8" s="160" t="s">
        <v>267</v>
      </c>
      <c r="E8" s="161">
        <v>839004</v>
      </c>
      <c r="F8" s="158"/>
    </row>
    <row r="9" spans="1:8">
      <c r="A9" t="s">
        <v>268</v>
      </c>
      <c r="B9" t="s">
        <v>259</v>
      </c>
      <c r="C9" s="159" t="s">
        <v>260</v>
      </c>
      <c r="D9" s="160" t="s">
        <v>269</v>
      </c>
      <c r="E9" s="161">
        <v>78000</v>
      </c>
      <c r="F9" s="158"/>
    </row>
    <row r="10" spans="1:8">
      <c r="A10" t="s">
        <v>268</v>
      </c>
      <c r="B10" t="s">
        <v>259</v>
      </c>
      <c r="C10" s="159" t="s">
        <v>260</v>
      </c>
      <c r="D10" s="160" t="s">
        <v>270</v>
      </c>
      <c r="E10" s="161">
        <v>124992</v>
      </c>
      <c r="F10" s="158"/>
    </row>
    <row r="11" spans="1:8" ht="13" thickBot="1">
      <c r="C11" s="162"/>
      <c r="D11" s="163"/>
      <c r="E11" s="164">
        <f>SUM(E5:E10)</f>
        <v>6427008</v>
      </c>
      <c r="F11" s="165"/>
    </row>
    <row r="12" spans="1:8">
      <c r="D12"/>
      <c r="E12" s="134"/>
      <c r="F12" s="134"/>
    </row>
    <row r="13" spans="1:8">
      <c r="D13" t="s">
        <v>266</v>
      </c>
      <c r="E13" s="134">
        <f>+E8</f>
        <v>839004</v>
      </c>
      <c r="F13" s="134"/>
    </row>
    <row r="14" spans="1:8">
      <c r="D14" t="s">
        <v>271</v>
      </c>
      <c r="E14" s="134">
        <f>+E11-E13</f>
        <v>5588004</v>
      </c>
      <c r="F14" s="134"/>
    </row>
    <row r="15" spans="1:8">
      <c r="E15" s="135">
        <f>+E14+E13</f>
        <v>6427008</v>
      </c>
      <c r="F15" s="135"/>
    </row>
    <row r="18" spans="1:8" ht="13" thickBot="1">
      <c r="A18" s="134"/>
      <c r="B18" s="134"/>
      <c r="C18" s="6"/>
      <c r="D18" s="6" t="s">
        <v>272</v>
      </c>
      <c r="E18" s="6"/>
      <c r="F18" s="6"/>
    </row>
    <row r="19" spans="1:8" ht="13" thickBot="1">
      <c r="A19" s="150"/>
      <c r="B19" s="150"/>
      <c r="C19" s="166" t="s">
        <v>232</v>
      </c>
      <c r="D19" s="167" t="s">
        <v>233</v>
      </c>
      <c r="E19" s="167" t="s">
        <v>234</v>
      </c>
      <c r="F19" s="168" t="s">
        <v>231</v>
      </c>
      <c r="G19" s="169" t="s">
        <v>54</v>
      </c>
      <c r="H19" s="170"/>
    </row>
    <row r="20" spans="1:8">
      <c r="A20" s="171" t="s">
        <v>254</v>
      </c>
      <c r="B20" s="171" t="s">
        <v>255</v>
      </c>
      <c r="C20" s="172"/>
      <c r="D20" s="173"/>
      <c r="E20" s="173"/>
      <c r="F20" s="174"/>
      <c r="G20" s="175"/>
      <c r="H20" s="170"/>
    </row>
    <row r="21" spans="1:8">
      <c r="A21" s="171" t="s">
        <v>258</v>
      </c>
      <c r="B21" s="171" t="s">
        <v>259</v>
      </c>
      <c r="C21" s="172">
        <v>1169001</v>
      </c>
      <c r="D21" s="173">
        <v>1169001</v>
      </c>
      <c r="E21" s="173">
        <v>1169001</v>
      </c>
      <c r="F21" s="174">
        <v>1169001</v>
      </c>
      <c r="G21" s="176">
        <f>SUM(C21:F21)</f>
        <v>4676004</v>
      </c>
      <c r="H21" s="170"/>
    </row>
    <row r="22" spans="1:8">
      <c r="A22" s="171" t="s">
        <v>262</v>
      </c>
      <c r="B22" s="171" t="s">
        <v>259</v>
      </c>
      <c r="C22" s="172">
        <v>134751</v>
      </c>
      <c r="D22" s="173">
        <v>134751</v>
      </c>
      <c r="E22" s="173">
        <v>134751</v>
      </c>
      <c r="F22" s="174">
        <v>134751</v>
      </c>
      <c r="G22" s="176">
        <f t="shared" ref="G22:G27" si="0">SUM(C22:F22)</f>
        <v>539004</v>
      </c>
      <c r="H22" s="170"/>
    </row>
    <row r="23" spans="1:8">
      <c r="A23" s="171" t="s">
        <v>262</v>
      </c>
      <c r="B23" s="171" t="s">
        <v>259</v>
      </c>
      <c r="C23" s="172">
        <v>42501</v>
      </c>
      <c r="D23" s="173">
        <v>42501</v>
      </c>
      <c r="E23" s="173">
        <v>42501</v>
      </c>
      <c r="F23" s="174">
        <v>42501</v>
      </c>
      <c r="G23" s="176">
        <f t="shared" si="0"/>
        <v>170004</v>
      </c>
      <c r="H23" s="170"/>
    </row>
    <row r="24" spans="1:8">
      <c r="A24" s="171" t="s">
        <v>265</v>
      </c>
      <c r="B24" s="171" t="s">
        <v>266</v>
      </c>
      <c r="C24" s="172">
        <v>209751</v>
      </c>
      <c r="D24" s="173">
        <v>209751</v>
      </c>
      <c r="E24" s="173">
        <v>209751</v>
      </c>
      <c r="F24" s="174">
        <v>209751</v>
      </c>
      <c r="G24" s="176">
        <f t="shared" si="0"/>
        <v>839004</v>
      </c>
      <c r="H24" s="170"/>
    </row>
    <row r="25" spans="1:8">
      <c r="A25" s="171" t="s">
        <v>268</v>
      </c>
      <c r="B25" s="171" t="s">
        <v>259</v>
      </c>
      <c r="C25" s="172">
        <v>19500</v>
      </c>
      <c r="D25" s="173">
        <v>19500</v>
      </c>
      <c r="E25" s="173">
        <v>19500</v>
      </c>
      <c r="F25" s="174">
        <v>19500</v>
      </c>
      <c r="G25" s="176">
        <f t="shared" si="0"/>
        <v>78000</v>
      </c>
      <c r="H25" s="170"/>
    </row>
    <row r="26" spans="1:8" ht="13" thickBot="1">
      <c r="A26" s="171" t="s">
        <v>268</v>
      </c>
      <c r="B26" s="171" t="s">
        <v>259</v>
      </c>
      <c r="C26" s="177">
        <v>31248</v>
      </c>
      <c r="D26" s="178">
        <v>31248</v>
      </c>
      <c r="E26" s="178">
        <v>31248</v>
      </c>
      <c r="F26" s="179">
        <v>31248</v>
      </c>
      <c r="G26" s="180">
        <f t="shared" si="0"/>
        <v>124992</v>
      </c>
      <c r="H26" s="170"/>
    </row>
    <row r="27" spans="1:8" ht="13" thickBot="1">
      <c r="A27" s="165"/>
      <c r="B27" s="165"/>
      <c r="C27" s="181">
        <f>SUM(C21:C26)</f>
        <v>1606752</v>
      </c>
      <c r="D27" s="182">
        <f>SUM(D21:D26)</f>
        <v>1606752</v>
      </c>
      <c r="E27" s="182">
        <f>SUM(E21:E26)</f>
        <v>1606752</v>
      </c>
      <c r="F27" s="183">
        <f>SUM(F21:F26)</f>
        <v>1606752</v>
      </c>
      <c r="G27" s="184">
        <f t="shared" si="0"/>
        <v>6427008</v>
      </c>
      <c r="H27" s="170"/>
    </row>
    <row r="28" spans="1:8">
      <c r="A28" s="134"/>
      <c r="B28" s="134"/>
      <c r="C28" s="6"/>
      <c r="D28" s="6"/>
      <c r="E28" s="6"/>
      <c r="F28" s="6"/>
    </row>
    <row r="29" spans="1:8">
      <c r="A29" s="134"/>
      <c r="B29" s="134" t="s">
        <v>273</v>
      </c>
      <c r="C29" s="134">
        <f>+C24</f>
        <v>209751</v>
      </c>
      <c r="D29" s="134">
        <f>+D24</f>
        <v>209751</v>
      </c>
      <c r="E29" s="134">
        <f>+E24</f>
        <v>209751</v>
      </c>
      <c r="F29" s="134">
        <f>+F24</f>
        <v>209751</v>
      </c>
      <c r="G29" s="185">
        <f>+SUM(C29:F29)</f>
        <v>839004</v>
      </c>
    </row>
    <row r="30" spans="1:8">
      <c r="A30" s="134"/>
      <c r="B30" s="134" t="s">
        <v>274</v>
      </c>
      <c r="C30" s="134">
        <f>+C27-C29</f>
        <v>1397001</v>
      </c>
      <c r="D30" s="134">
        <f>+D27-D29</f>
        <v>1397001</v>
      </c>
      <c r="E30" s="134">
        <f>+E27-E29</f>
        <v>1397001</v>
      </c>
      <c r="F30" s="134">
        <f>+F27-F29</f>
        <v>1397001</v>
      </c>
      <c r="G30" s="185">
        <f>+SUM(C30:F30)</f>
        <v>5588004</v>
      </c>
    </row>
    <row r="31" spans="1:8">
      <c r="A31" s="135"/>
      <c r="B31" s="135" t="s">
        <v>54</v>
      </c>
      <c r="C31" s="135">
        <f>+C30+C29</f>
        <v>1606752</v>
      </c>
      <c r="D31" s="135">
        <f>+D30+D29</f>
        <v>1606752</v>
      </c>
      <c r="E31" s="135">
        <f>+E30+E29</f>
        <v>1606752</v>
      </c>
      <c r="F31" s="135">
        <f>+F30+F29</f>
        <v>1606752</v>
      </c>
      <c r="G31" s="185">
        <f>+SUM(C31:F31)</f>
        <v>6427008</v>
      </c>
    </row>
    <row r="34" spans="1:7" ht="13" thickBot="1">
      <c r="D34" t="s">
        <v>275</v>
      </c>
    </row>
    <row r="35" spans="1:7" ht="13" thickBot="1">
      <c r="C35" s="166" t="s">
        <v>233</v>
      </c>
      <c r="D35" s="167" t="s">
        <v>234</v>
      </c>
      <c r="E35" s="168" t="s">
        <v>231</v>
      </c>
      <c r="F35" s="169" t="s">
        <v>54</v>
      </c>
    </row>
    <row r="36" spans="1:7">
      <c r="A36" s="171" t="s">
        <v>254</v>
      </c>
      <c r="B36" s="171" t="s">
        <v>255</v>
      </c>
      <c r="C36" s="172"/>
      <c r="D36" s="173"/>
      <c r="E36" s="174"/>
      <c r="F36" s="175"/>
    </row>
    <row r="37" spans="1:7">
      <c r="A37" s="171" t="s">
        <v>258</v>
      </c>
      <c r="B37" s="171" t="s">
        <v>259</v>
      </c>
      <c r="C37" s="172">
        <v>1169001</v>
      </c>
      <c r="D37" s="173">
        <v>1169001</v>
      </c>
      <c r="E37" s="174">
        <v>1169001</v>
      </c>
      <c r="F37" s="176">
        <f>SUM(C37:E37)</f>
        <v>3507003</v>
      </c>
    </row>
    <row r="38" spans="1:7">
      <c r="A38" s="171" t="s">
        <v>262</v>
      </c>
      <c r="B38" s="171" t="s">
        <v>259</v>
      </c>
      <c r="C38" s="172">
        <v>134751</v>
      </c>
      <c r="D38" s="173">
        <v>134751</v>
      </c>
      <c r="E38" s="174">
        <v>134751</v>
      </c>
      <c r="F38" s="176">
        <f t="shared" ref="F38:F43" si="1">SUM(C38:E38)</f>
        <v>404253</v>
      </c>
    </row>
    <row r="39" spans="1:7">
      <c r="A39" s="171" t="s">
        <v>262</v>
      </c>
      <c r="B39" s="171" t="s">
        <v>259</v>
      </c>
      <c r="C39" s="172">
        <v>42501</v>
      </c>
      <c r="D39" s="173">
        <v>42501</v>
      </c>
      <c r="E39" s="174">
        <v>42501</v>
      </c>
      <c r="F39" s="176">
        <f t="shared" si="1"/>
        <v>127503</v>
      </c>
    </row>
    <row r="40" spans="1:7">
      <c r="A40" s="171" t="s">
        <v>265</v>
      </c>
      <c r="B40" s="171" t="s">
        <v>266</v>
      </c>
      <c r="C40" s="172">
        <v>209751</v>
      </c>
      <c r="D40" s="173">
        <v>209751</v>
      </c>
      <c r="E40" s="174">
        <v>209751</v>
      </c>
      <c r="F40" s="176">
        <f t="shared" si="1"/>
        <v>629253</v>
      </c>
    </row>
    <row r="41" spans="1:7">
      <c r="A41" s="171" t="s">
        <v>268</v>
      </c>
      <c r="B41" s="171" t="s">
        <v>259</v>
      </c>
      <c r="C41" s="172">
        <v>19500</v>
      </c>
      <c r="D41" s="173">
        <v>19500</v>
      </c>
      <c r="E41" s="174">
        <v>19500</v>
      </c>
      <c r="F41" s="176">
        <f t="shared" si="1"/>
        <v>58500</v>
      </c>
    </row>
    <row r="42" spans="1:7" ht="13" thickBot="1">
      <c r="A42" s="171" t="s">
        <v>268</v>
      </c>
      <c r="B42" s="171" t="s">
        <v>259</v>
      </c>
      <c r="C42" s="177">
        <v>31248</v>
      </c>
      <c r="D42" s="178">
        <v>31248</v>
      </c>
      <c r="E42" s="179">
        <v>31248</v>
      </c>
      <c r="F42" s="180">
        <f t="shared" si="1"/>
        <v>93744</v>
      </c>
    </row>
    <row r="43" spans="1:7" ht="13" thickBot="1">
      <c r="A43" s="165"/>
      <c r="B43" s="165"/>
      <c r="C43" s="182">
        <f>SUM(C37:C42)</f>
        <v>1606752</v>
      </c>
      <c r="D43" s="182">
        <f>SUM(D37:D42)</f>
        <v>1606752</v>
      </c>
      <c r="E43" s="183">
        <f>SUM(E37:E42)</f>
        <v>1606752</v>
      </c>
      <c r="F43" s="184">
        <f t="shared" si="1"/>
        <v>4820256</v>
      </c>
    </row>
    <row r="44" spans="1:7">
      <c r="C44" s="6"/>
      <c r="D44" s="6"/>
      <c r="E44" s="6"/>
    </row>
    <row r="45" spans="1:7">
      <c r="B45" t="s">
        <v>273</v>
      </c>
      <c r="C45" s="134">
        <f>+C40</f>
        <v>209751</v>
      </c>
      <c r="D45" s="134">
        <f>+D40</f>
        <v>209751</v>
      </c>
      <c r="E45" s="134">
        <f>+E40</f>
        <v>209751</v>
      </c>
      <c r="F45" s="185">
        <f>+SUM(C45:E45)</f>
        <v>629253</v>
      </c>
      <c r="G45" s="135" t="s">
        <v>276</v>
      </c>
    </row>
    <row r="46" spans="1:7">
      <c r="B46" t="s">
        <v>274</v>
      </c>
      <c r="C46" s="134">
        <f>+C43-C45</f>
        <v>1397001</v>
      </c>
      <c r="D46" s="134">
        <f>+D43-D45</f>
        <v>1397001</v>
      </c>
      <c r="E46" s="134">
        <f>+E43-E45</f>
        <v>1397001</v>
      </c>
      <c r="F46" s="185">
        <f>+SUM(C46:E46)</f>
        <v>4191003</v>
      </c>
      <c r="G46" s="135" t="s">
        <v>277</v>
      </c>
    </row>
    <row r="47" spans="1:7">
      <c r="B47" t="s">
        <v>54</v>
      </c>
      <c r="C47" s="135">
        <f>+C46+C45</f>
        <v>1606752</v>
      </c>
      <c r="D47" s="135">
        <f>+D46+D45</f>
        <v>1606752</v>
      </c>
      <c r="E47" s="135">
        <f>+E46+E45</f>
        <v>1606752</v>
      </c>
      <c r="F47" s="185">
        <f>+SUM(C47:E47)</f>
        <v>4820256</v>
      </c>
      <c r="G47" s="135" t="s">
        <v>278</v>
      </c>
    </row>
    <row r="52" spans="1:6" ht="13" thickBot="1">
      <c r="D52" t="s">
        <v>279</v>
      </c>
    </row>
    <row r="53" spans="1:6" ht="13" thickBot="1">
      <c r="C53" s="166" t="s">
        <v>233</v>
      </c>
      <c r="D53" s="167" t="s">
        <v>234</v>
      </c>
      <c r="E53" s="186" t="s">
        <v>54</v>
      </c>
      <c r="F53" s="187"/>
    </row>
    <row r="54" spans="1:6">
      <c r="A54" s="171" t="s">
        <v>254</v>
      </c>
      <c r="B54" s="171" t="s">
        <v>255</v>
      </c>
      <c r="C54" s="172"/>
      <c r="D54" s="173"/>
      <c r="E54" s="174"/>
      <c r="F54" s="171"/>
    </row>
    <row r="55" spans="1:6">
      <c r="A55" s="171" t="s">
        <v>258</v>
      </c>
      <c r="B55" s="171" t="s">
        <v>259</v>
      </c>
      <c r="C55" s="172">
        <v>1169001</v>
      </c>
      <c r="D55" s="173">
        <v>1169001</v>
      </c>
      <c r="E55" s="176">
        <f t="shared" ref="E55:E60" si="2">SUM(C55:D55)</f>
        <v>2338002</v>
      </c>
      <c r="F55" s="188"/>
    </row>
    <row r="56" spans="1:6">
      <c r="A56" s="171" t="s">
        <v>262</v>
      </c>
      <c r="B56" s="171" t="s">
        <v>259</v>
      </c>
      <c r="C56" s="172">
        <v>134751</v>
      </c>
      <c r="D56" s="173">
        <v>134751</v>
      </c>
      <c r="E56" s="176">
        <f t="shared" si="2"/>
        <v>269502</v>
      </c>
      <c r="F56" s="188"/>
    </row>
    <row r="57" spans="1:6">
      <c r="A57" s="171" t="s">
        <v>262</v>
      </c>
      <c r="B57" s="171" t="s">
        <v>259</v>
      </c>
      <c r="C57" s="172">
        <v>42501</v>
      </c>
      <c r="D57" s="173">
        <v>42501</v>
      </c>
      <c r="E57" s="176">
        <f t="shared" si="2"/>
        <v>85002</v>
      </c>
      <c r="F57" s="188"/>
    </row>
    <row r="58" spans="1:6">
      <c r="A58" s="171" t="s">
        <v>265</v>
      </c>
      <c r="B58" s="171" t="s">
        <v>266</v>
      </c>
      <c r="C58" s="172">
        <v>209751</v>
      </c>
      <c r="D58" s="173">
        <v>209751</v>
      </c>
      <c r="E58" s="176">
        <f t="shared" si="2"/>
        <v>419502</v>
      </c>
      <c r="F58" s="188"/>
    </row>
    <row r="59" spans="1:6">
      <c r="A59" s="171" t="s">
        <v>268</v>
      </c>
      <c r="B59" s="171" t="s">
        <v>259</v>
      </c>
      <c r="C59" s="172">
        <v>19500</v>
      </c>
      <c r="D59" s="173">
        <v>19500</v>
      </c>
      <c r="E59" s="176">
        <f t="shared" si="2"/>
        <v>39000</v>
      </c>
      <c r="F59" s="188"/>
    </row>
    <row r="60" spans="1:6" ht="13" thickBot="1">
      <c r="A60" s="171" t="s">
        <v>268</v>
      </c>
      <c r="B60" s="171" t="s">
        <v>259</v>
      </c>
      <c r="C60" s="177">
        <v>31248</v>
      </c>
      <c r="D60" s="178">
        <v>31248</v>
      </c>
      <c r="E60" s="176">
        <f t="shared" si="2"/>
        <v>62496</v>
      </c>
      <c r="F60" s="188"/>
    </row>
    <row r="61" spans="1:6" ht="13" thickBot="1">
      <c r="A61" s="165"/>
      <c r="B61" s="165"/>
      <c r="C61" s="189">
        <f>SUM(C55:C60)</f>
        <v>1606752</v>
      </c>
      <c r="D61" s="190">
        <f>SUM(D55:D60)</f>
        <v>1606752</v>
      </c>
      <c r="E61" s="181">
        <f>SUM(E55:E60)</f>
        <v>3213504</v>
      </c>
      <c r="F61" s="188"/>
    </row>
    <row r="62" spans="1:6">
      <c r="C62" s="6"/>
      <c r="D62" s="6"/>
      <c r="E62" s="6"/>
      <c r="F62" t="s">
        <v>280</v>
      </c>
    </row>
    <row r="63" spans="1:6">
      <c r="B63" t="s">
        <v>273</v>
      </c>
      <c r="C63" s="134">
        <f>+C58</f>
        <v>209751</v>
      </c>
      <c r="D63" s="134">
        <f>+D58</f>
        <v>209751</v>
      </c>
      <c r="E63" s="134">
        <f>+E58</f>
        <v>419502</v>
      </c>
      <c r="F63" s="185" t="s">
        <v>280</v>
      </c>
    </row>
    <row r="64" spans="1:6">
      <c r="B64" t="s">
        <v>274</v>
      </c>
      <c r="C64" s="134">
        <f>+C61-C63</f>
        <v>1397001</v>
      </c>
      <c r="D64" s="134">
        <f>+D61-D63</f>
        <v>1397001</v>
      </c>
      <c r="E64" s="134">
        <f>+E61-E63</f>
        <v>2794002</v>
      </c>
      <c r="F64" s="185" t="s">
        <v>280</v>
      </c>
    </row>
    <row r="65" spans="1:6">
      <c r="B65" t="s">
        <v>54</v>
      </c>
      <c r="C65" s="135">
        <f>+C64+C63</f>
        <v>1606752</v>
      </c>
      <c r="D65" s="135">
        <f>+D64+D63</f>
        <v>1606752</v>
      </c>
      <c r="E65" s="135">
        <f>+E64+E63</f>
        <v>3213504</v>
      </c>
      <c r="F65" s="185" t="s">
        <v>280</v>
      </c>
    </row>
    <row r="69" spans="1:6" ht="13" thickBot="1">
      <c r="C69" s="171" t="s">
        <v>281</v>
      </c>
      <c r="D69" s="171"/>
    </row>
    <row r="70" spans="1:6" ht="13" thickBot="1">
      <c r="C70" s="191" t="s">
        <v>231</v>
      </c>
      <c r="D70" s="168" t="s">
        <v>54</v>
      </c>
      <c r="F70" s="187" t="s">
        <v>280</v>
      </c>
    </row>
    <row r="71" spans="1:6">
      <c r="A71" s="171" t="s">
        <v>254</v>
      </c>
      <c r="B71" s="171" t="s">
        <v>255</v>
      </c>
      <c r="C71" s="176"/>
      <c r="D71" s="174"/>
      <c r="F71" s="171"/>
    </row>
    <row r="72" spans="1:6">
      <c r="A72" s="171" t="s">
        <v>258</v>
      </c>
      <c r="B72" s="171" t="s">
        <v>259</v>
      </c>
      <c r="C72" s="176">
        <v>1169001</v>
      </c>
      <c r="D72" s="174">
        <f t="shared" ref="D72:D77" si="3">+C72</f>
        <v>1169001</v>
      </c>
      <c r="F72" s="188" t="s">
        <v>282</v>
      </c>
    </row>
    <row r="73" spans="1:6">
      <c r="A73" s="171" t="s">
        <v>262</v>
      </c>
      <c r="B73" s="171" t="s">
        <v>259</v>
      </c>
      <c r="C73" s="176">
        <v>134751</v>
      </c>
      <c r="D73" s="174">
        <f t="shared" si="3"/>
        <v>134751</v>
      </c>
      <c r="F73" s="188" t="s">
        <v>280</v>
      </c>
    </row>
    <row r="74" spans="1:6">
      <c r="A74" s="171" t="s">
        <v>262</v>
      </c>
      <c r="B74" s="171" t="s">
        <v>259</v>
      </c>
      <c r="C74" s="176">
        <v>42501</v>
      </c>
      <c r="D74" s="174">
        <f t="shared" si="3"/>
        <v>42501</v>
      </c>
      <c r="F74" s="188" t="s">
        <v>280</v>
      </c>
    </row>
    <row r="75" spans="1:6">
      <c r="A75" s="171" t="s">
        <v>265</v>
      </c>
      <c r="B75" s="171" t="s">
        <v>266</v>
      </c>
      <c r="C75" s="176">
        <v>209751</v>
      </c>
      <c r="D75" s="174">
        <f t="shared" si="3"/>
        <v>209751</v>
      </c>
      <c r="F75" s="188" t="s">
        <v>280</v>
      </c>
    </row>
    <row r="76" spans="1:6">
      <c r="A76" s="171" t="s">
        <v>268</v>
      </c>
      <c r="B76" s="171" t="s">
        <v>259</v>
      </c>
      <c r="C76" s="176">
        <v>19500</v>
      </c>
      <c r="D76" s="174">
        <f t="shared" si="3"/>
        <v>19500</v>
      </c>
      <c r="F76" s="188" t="s">
        <v>280</v>
      </c>
    </row>
    <row r="77" spans="1:6" ht="13" thickBot="1">
      <c r="A77" s="171" t="s">
        <v>268</v>
      </c>
      <c r="B77" s="171" t="s">
        <v>259</v>
      </c>
      <c r="C77" s="180">
        <v>31248</v>
      </c>
      <c r="D77" s="179">
        <f t="shared" si="3"/>
        <v>31248</v>
      </c>
      <c r="F77" s="188" t="s">
        <v>280</v>
      </c>
    </row>
    <row r="78" spans="1:6" ht="13" thickBot="1">
      <c r="A78" s="165"/>
      <c r="B78" s="165"/>
      <c r="C78" s="192">
        <f>SUM(C72:C77)</f>
        <v>1606752</v>
      </c>
      <c r="D78" s="183">
        <f>SUM(D72:D77)</f>
        <v>1606752</v>
      </c>
      <c r="F78" s="188" t="s">
        <v>280</v>
      </c>
    </row>
    <row r="79" spans="1:6">
      <c r="C79" s="6"/>
      <c r="D79" s="6"/>
      <c r="E79" s="6"/>
    </row>
    <row r="80" spans="1:6">
      <c r="B80" t="s">
        <v>273</v>
      </c>
      <c r="C80" s="134">
        <f>+C75</f>
        <v>209751</v>
      </c>
      <c r="D80" s="134">
        <f>+D75</f>
        <v>209751</v>
      </c>
      <c r="E80" s="135" t="s">
        <v>276</v>
      </c>
      <c r="F80" s="185" t="s">
        <v>280</v>
      </c>
    </row>
    <row r="81" spans="2:6">
      <c r="B81" t="s">
        <v>274</v>
      </c>
      <c r="C81" s="134">
        <f>+C82-C80</f>
        <v>1397001</v>
      </c>
      <c r="D81" s="134">
        <f>+D78-D80</f>
        <v>1397001</v>
      </c>
      <c r="E81" s="135" t="s">
        <v>277</v>
      </c>
      <c r="F81" s="185"/>
    </row>
    <row r="82" spans="2:6">
      <c r="B82" t="s">
        <v>54</v>
      </c>
      <c r="C82" s="135">
        <f>+C78</f>
        <v>1606752</v>
      </c>
      <c r="D82" s="135">
        <f>+D81+D80</f>
        <v>1606752</v>
      </c>
      <c r="E82" s="135" t="s">
        <v>278</v>
      </c>
      <c r="F82" s="185"/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55"/>
  <sheetViews>
    <sheetView zoomScale="75" workbookViewId="0">
      <selection activeCell="G22" sqref="G22"/>
    </sheetView>
  </sheetViews>
  <sheetFormatPr baseColWidth="10" defaultColWidth="8.83203125" defaultRowHeight="12" x14ac:dyDescent="0"/>
  <cols>
    <col min="1" max="1" width="30.1640625" customWidth="1"/>
    <col min="2" max="2" width="10.5" bestFit="1" customWidth="1"/>
    <col min="3" max="3" width="11.33203125" bestFit="1" customWidth="1"/>
    <col min="4" max="4" width="9.33203125" customWidth="1"/>
    <col min="5" max="5" width="9.33203125" bestFit="1" customWidth="1"/>
    <col min="6" max="6" width="8.83203125" bestFit="1" customWidth="1"/>
    <col min="7" max="7" width="13.5" bestFit="1" customWidth="1"/>
    <col min="8" max="8" width="11.83203125" bestFit="1" customWidth="1"/>
    <col min="9" max="9" width="13.1640625" bestFit="1" customWidth="1"/>
    <col min="10" max="10" width="12.5" bestFit="1" customWidth="1"/>
    <col min="12" max="12" width="27.1640625" customWidth="1"/>
    <col min="13" max="13" width="9.83203125" bestFit="1" customWidth="1"/>
    <col min="14" max="14" width="9.6640625" bestFit="1" customWidth="1"/>
    <col min="15" max="15" width="9.33203125" bestFit="1" customWidth="1"/>
    <col min="18" max="18" width="12.5" bestFit="1" customWidth="1"/>
    <col min="19" max="19" width="10.1640625" bestFit="1" customWidth="1"/>
    <col min="20" max="20" width="9.5" bestFit="1" customWidth="1"/>
    <col min="21" max="21" width="10.83203125" customWidth="1"/>
    <col min="26" max="26" width="12.5" bestFit="1" customWidth="1"/>
  </cols>
  <sheetData>
    <row r="1" spans="1:21">
      <c r="A1" s="3" t="s">
        <v>95</v>
      </c>
      <c r="L1" s="3" t="s">
        <v>95</v>
      </c>
    </row>
    <row r="2" spans="1:21">
      <c r="A2" s="3" t="s">
        <v>127</v>
      </c>
      <c r="L2" s="3" t="s">
        <v>127</v>
      </c>
    </row>
    <row r="3" spans="1:21">
      <c r="A3" s="3"/>
      <c r="B3" s="3" t="s">
        <v>92</v>
      </c>
      <c r="C3" s="122" t="s">
        <v>369</v>
      </c>
      <c r="L3" s="3"/>
      <c r="M3" s="3" t="s">
        <v>370</v>
      </c>
      <c r="N3" s="122" t="s">
        <v>371</v>
      </c>
    </row>
    <row r="4" spans="1:21">
      <c r="A4" s="3" t="s">
        <v>128</v>
      </c>
      <c r="B4" s="3" t="s">
        <v>97</v>
      </c>
      <c r="C4" s="3" t="s">
        <v>93</v>
      </c>
      <c r="D4" s="3" t="s">
        <v>98</v>
      </c>
      <c r="E4" s="3" t="s">
        <v>99</v>
      </c>
      <c r="F4" s="3" t="s">
        <v>100</v>
      </c>
      <c r="G4" s="3" t="s">
        <v>102</v>
      </c>
      <c r="H4" s="3" t="s">
        <v>91</v>
      </c>
      <c r="I4" s="3" t="s">
        <v>93</v>
      </c>
      <c r="J4" s="3" t="s">
        <v>94</v>
      </c>
      <c r="L4" s="3" t="s">
        <v>128</v>
      </c>
      <c r="M4" s="3" t="s">
        <v>97</v>
      </c>
      <c r="N4" s="3" t="s">
        <v>93</v>
      </c>
      <c r="O4" s="3" t="s">
        <v>98</v>
      </c>
      <c r="P4" s="3" t="s">
        <v>99</v>
      </c>
      <c r="Q4" s="3" t="s">
        <v>100</v>
      </c>
      <c r="R4" s="3" t="s">
        <v>102</v>
      </c>
      <c r="S4" s="3" t="s">
        <v>91</v>
      </c>
      <c r="T4" s="3" t="s">
        <v>93</v>
      </c>
      <c r="U4" s="3" t="s">
        <v>94</v>
      </c>
    </row>
    <row r="6" spans="1:21">
      <c r="A6" s="3" t="s">
        <v>17</v>
      </c>
      <c r="H6">
        <v>-203859.13151060004</v>
      </c>
      <c r="I6" s="6">
        <f>+H6+H13</f>
        <v>-152073.08151060005</v>
      </c>
      <c r="L6" s="3" t="s">
        <v>17</v>
      </c>
    </row>
    <row r="8" spans="1:21">
      <c r="A8" t="s">
        <v>101</v>
      </c>
      <c r="B8" s="12">
        <v>0</v>
      </c>
      <c r="C8" s="12">
        <v>42008</v>
      </c>
      <c r="D8" s="12">
        <v>8012</v>
      </c>
      <c r="E8" s="12">
        <v>1033</v>
      </c>
      <c r="F8" s="12">
        <v>374</v>
      </c>
      <c r="G8" s="12">
        <v>0</v>
      </c>
      <c r="H8" s="16">
        <f>SUM(B8:G8)</f>
        <v>51427</v>
      </c>
      <c r="I8" s="30">
        <f>+C8</f>
        <v>42008</v>
      </c>
      <c r="J8" s="32">
        <f t="shared" ref="J8:J16" si="0">+D8+E8+F8</f>
        <v>9419</v>
      </c>
      <c r="L8" t="s">
        <v>101</v>
      </c>
      <c r="M8" s="12">
        <v>0</v>
      </c>
      <c r="N8" s="12">
        <v>142421</v>
      </c>
      <c r="O8" s="12">
        <v>23229</v>
      </c>
      <c r="P8" s="12">
        <v>2737</v>
      </c>
      <c r="Q8" s="12">
        <v>1259</v>
      </c>
      <c r="R8" s="12">
        <v>0</v>
      </c>
      <c r="S8" s="16">
        <v>169646</v>
      </c>
      <c r="T8" s="30">
        <v>142421</v>
      </c>
      <c r="U8" s="32">
        <v>27225</v>
      </c>
    </row>
    <row r="9" spans="1:21">
      <c r="A9" t="s">
        <v>329</v>
      </c>
      <c r="B9" s="18">
        <v>0</v>
      </c>
      <c r="C9" s="18">
        <v>44280.65</v>
      </c>
      <c r="D9" s="18">
        <v>7730.32</v>
      </c>
      <c r="E9" s="18">
        <v>982.84</v>
      </c>
      <c r="F9" s="18">
        <v>349.24</v>
      </c>
      <c r="G9" s="18">
        <v>0</v>
      </c>
      <c r="H9" s="17">
        <f>SUM(B9:G9)</f>
        <v>53343.049999999996</v>
      </c>
      <c r="I9" s="31">
        <f>+C9</f>
        <v>44280.65</v>
      </c>
      <c r="J9" s="33">
        <f t="shared" si="0"/>
        <v>9062.4</v>
      </c>
      <c r="L9" t="s">
        <v>103</v>
      </c>
      <c r="M9" s="18">
        <v>0</v>
      </c>
      <c r="N9" s="18">
        <v>128668.69</v>
      </c>
      <c r="O9" s="18">
        <v>19628.07</v>
      </c>
      <c r="P9" s="18">
        <v>2143.2199999999998</v>
      </c>
      <c r="Q9" s="18">
        <v>886.55</v>
      </c>
      <c r="R9" s="18">
        <v>0</v>
      </c>
      <c r="S9" s="17">
        <v>151326.53</v>
      </c>
      <c r="T9" s="31">
        <v>128668.69</v>
      </c>
      <c r="U9" s="33">
        <v>22657.84</v>
      </c>
    </row>
    <row r="10" spans="1:21">
      <c r="A10" t="s">
        <v>328</v>
      </c>
      <c r="B10" s="18">
        <v>0</v>
      </c>
      <c r="C10" s="18">
        <f>-1396.56-142.08</f>
        <v>-1538.6399999999999</v>
      </c>
      <c r="D10" s="18">
        <v>-35.25</v>
      </c>
      <c r="E10" s="18">
        <f>-5.31+1.75</f>
        <v>-3.5599999999999996</v>
      </c>
      <c r="F10" s="18">
        <v>-0.06</v>
      </c>
      <c r="G10" s="18">
        <v>0</v>
      </c>
      <c r="H10" s="17">
        <f>SUM(B10:G10)</f>
        <v>-1577.5099999999998</v>
      </c>
      <c r="I10" s="31">
        <f>+C10</f>
        <v>-1538.6399999999999</v>
      </c>
      <c r="J10" s="33">
        <f t="shared" si="0"/>
        <v>-38.870000000000005</v>
      </c>
      <c r="L10" t="s">
        <v>104</v>
      </c>
      <c r="M10" s="18">
        <v>0</v>
      </c>
      <c r="N10" s="18">
        <v>-3699.67</v>
      </c>
      <c r="O10" s="18">
        <v>-29.31</v>
      </c>
      <c r="P10" s="18">
        <v>-29.91</v>
      </c>
      <c r="Q10" s="18">
        <v>-0.14000000000000001</v>
      </c>
      <c r="R10" s="18">
        <v>0</v>
      </c>
      <c r="S10" s="17">
        <v>-3759.03</v>
      </c>
      <c r="T10" s="31">
        <v>-3699.67</v>
      </c>
      <c r="U10" s="33">
        <v>-59.36</v>
      </c>
    </row>
    <row r="11" spans="1:21">
      <c r="A11" t="s">
        <v>334</v>
      </c>
      <c r="B11" s="18"/>
      <c r="C11" s="18"/>
      <c r="D11" s="18"/>
      <c r="E11" s="18"/>
      <c r="F11" s="18"/>
      <c r="G11" s="18"/>
      <c r="H11" s="17">
        <f>SUM(B11:G11)</f>
        <v>0</v>
      </c>
      <c r="I11" s="31">
        <f>+C11</f>
        <v>0</v>
      </c>
      <c r="J11" s="33">
        <f t="shared" si="0"/>
        <v>0</v>
      </c>
      <c r="M11" s="18"/>
      <c r="N11" s="18"/>
      <c r="O11" s="18"/>
      <c r="P11" s="18"/>
      <c r="Q11" s="18"/>
      <c r="R11" s="18"/>
      <c r="S11" s="17"/>
      <c r="T11" s="31"/>
      <c r="U11" s="33"/>
    </row>
    <row r="12" spans="1:21">
      <c r="A12" t="s">
        <v>333</v>
      </c>
      <c r="B12" s="18"/>
      <c r="C12" s="18">
        <v>17.79</v>
      </c>
      <c r="D12" s="18">
        <v>2.5</v>
      </c>
      <c r="E12" s="18">
        <v>0.16</v>
      </c>
      <c r="F12" s="18">
        <v>0.06</v>
      </c>
      <c r="G12" s="18"/>
      <c r="H12" s="17">
        <f>SUM(B12:G12)</f>
        <v>20.509999999999998</v>
      </c>
      <c r="I12" s="31">
        <f>+C12</f>
        <v>17.79</v>
      </c>
      <c r="J12" s="33">
        <f t="shared" si="0"/>
        <v>2.72</v>
      </c>
      <c r="M12" s="18"/>
      <c r="N12" s="18"/>
      <c r="O12" s="18"/>
      <c r="P12" s="18"/>
      <c r="Q12" s="18"/>
      <c r="R12" s="18"/>
      <c r="S12" s="17"/>
      <c r="T12" s="31"/>
      <c r="U12" s="33"/>
    </row>
    <row r="13" spans="1:21">
      <c r="A13" t="s">
        <v>105</v>
      </c>
      <c r="B13" s="17">
        <f t="shared" ref="B13:I13" si="1">+B9+B10+B12+B11</f>
        <v>0</v>
      </c>
      <c r="C13" s="17">
        <f t="shared" si="1"/>
        <v>42759.8</v>
      </c>
      <c r="D13" s="17">
        <f t="shared" si="1"/>
        <v>7697.57</v>
      </c>
      <c r="E13" s="17">
        <f t="shared" si="1"/>
        <v>979.44</v>
      </c>
      <c r="F13" s="17">
        <f t="shared" si="1"/>
        <v>349.24</v>
      </c>
      <c r="G13" s="17">
        <f t="shared" si="1"/>
        <v>0</v>
      </c>
      <c r="H13" s="17">
        <f t="shared" si="1"/>
        <v>51786.049999999996</v>
      </c>
      <c r="I13" s="31">
        <f t="shared" si="1"/>
        <v>42759.8</v>
      </c>
      <c r="J13" s="33">
        <f t="shared" si="0"/>
        <v>9026.25</v>
      </c>
      <c r="L13" t="s">
        <v>105</v>
      </c>
      <c r="M13" s="17">
        <v>0</v>
      </c>
      <c r="N13" s="17">
        <v>124969.02</v>
      </c>
      <c r="O13" s="17">
        <v>19598.759999999998</v>
      </c>
      <c r="P13" s="17">
        <v>2113.31</v>
      </c>
      <c r="Q13" s="17">
        <v>886.41</v>
      </c>
      <c r="R13" s="17">
        <v>0</v>
      </c>
      <c r="S13" s="17">
        <v>147567.5</v>
      </c>
      <c r="T13" s="31">
        <v>124969.02</v>
      </c>
      <c r="U13" s="33">
        <v>22598.48</v>
      </c>
    </row>
    <row r="14" spans="1:21">
      <c r="A14" t="s">
        <v>106</v>
      </c>
      <c r="B14" s="18">
        <v>0</v>
      </c>
      <c r="C14" s="18">
        <v>-6225.32</v>
      </c>
      <c r="D14" s="18">
        <v>-1077.53</v>
      </c>
      <c r="E14" s="18">
        <v>-126.5</v>
      </c>
      <c r="F14" s="18">
        <v>-47.5</v>
      </c>
      <c r="G14" s="18">
        <v>0</v>
      </c>
      <c r="H14" s="17">
        <f>SUM(B14:G14)</f>
        <v>-7476.8499999999995</v>
      </c>
      <c r="I14" s="31">
        <f>+C14</f>
        <v>-6225.32</v>
      </c>
      <c r="J14" s="33">
        <f t="shared" si="0"/>
        <v>-1251.53</v>
      </c>
      <c r="L14" t="s">
        <v>106</v>
      </c>
      <c r="M14" s="18">
        <v>0</v>
      </c>
      <c r="N14" s="18">
        <v>-17801.91</v>
      </c>
      <c r="O14" s="18">
        <v>-2634.03</v>
      </c>
      <c r="P14" s="18">
        <v>-272.56</v>
      </c>
      <c r="Q14" s="18">
        <v>-120.39</v>
      </c>
      <c r="R14" s="18">
        <v>0</v>
      </c>
      <c r="S14" s="17">
        <v>-20828.89</v>
      </c>
      <c r="T14" s="31">
        <v>-17801.91</v>
      </c>
      <c r="U14" s="33">
        <v>-3026.98</v>
      </c>
    </row>
    <row r="15" spans="1:21">
      <c r="A15" t="s">
        <v>107</v>
      </c>
      <c r="B15" s="17">
        <f t="shared" ref="B15:G15" si="2">+B14*$H$15/$H$14</f>
        <v>0</v>
      </c>
      <c r="C15" s="17">
        <f t="shared" si="2"/>
        <v>-6306.9077149869263</v>
      </c>
      <c r="D15" s="17">
        <f t="shared" si="2"/>
        <v>-1091.6518781572454</v>
      </c>
      <c r="E15" s="17">
        <f t="shared" si="2"/>
        <v>-128.15788199576025</v>
      </c>
      <c r="F15" s="17">
        <f t="shared" si="2"/>
        <v>-48.122524860068083</v>
      </c>
      <c r="G15" s="17">
        <f t="shared" si="2"/>
        <v>0</v>
      </c>
      <c r="H15" s="18">
        <v>-7574.84</v>
      </c>
      <c r="I15" s="31">
        <f>+C15</f>
        <v>-6306.9077149869263</v>
      </c>
      <c r="J15" s="33">
        <f t="shared" si="0"/>
        <v>-1267.9322850130739</v>
      </c>
      <c r="L15" t="s">
        <v>107</v>
      </c>
      <c r="M15" s="17">
        <v>0</v>
      </c>
      <c r="N15" s="17">
        <v>-17418.665647415681</v>
      </c>
      <c r="O15" s="17">
        <v>-2577.3238868897961</v>
      </c>
      <c r="P15" s="17">
        <v>-266.69225430639847</v>
      </c>
      <c r="Q15" s="17">
        <v>-117.79821138812486</v>
      </c>
      <c r="R15" s="17">
        <v>0</v>
      </c>
      <c r="S15" s="18">
        <v>-20380.48</v>
      </c>
      <c r="T15" s="31">
        <v>-17418.665647415681</v>
      </c>
      <c r="U15" s="33">
        <v>-2961.8143525843193</v>
      </c>
    </row>
    <row r="16" spans="1:21">
      <c r="A16" t="s">
        <v>39</v>
      </c>
      <c r="B16" s="6">
        <f t="shared" ref="B16:G16" si="3">+B13+B15</f>
        <v>0</v>
      </c>
      <c r="C16" s="6">
        <f t="shared" si="3"/>
        <v>36452.892285013077</v>
      </c>
      <c r="D16" s="6">
        <f t="shared" si="3"/>
        <v>6605.9181218427548</v>
      </c>
      <c r="E16" s="6">
        <f t="shared" si="3"/>
        <v>851.28211800423981</v>
      </c>
      <c r="F16" s="6">
        <f t="shared" si="3"/>
        <v>301.11747513993191</v>
      </c>
      <c r="G16" s="6">
        <f t="shared" si="3"/>
        <v>0</v>
      </c>
      <c r="H16" s="17">
        <f>SUM(B16:G16)</f>
        <v>44211.21</v>
      </c>
      <c r="I16" s="28">
        <f>+C16</f>
        <v>36452.892285013077</v>
      </c>
      <c r="J16" s="29">
        <f t="shared" si="0"/>
        <v>7758.3177149869271</v>
      </c>
      <c r="L16" t="s">
        <v>39</v>
      </c>
      <c r="M16" s="6">
        <v>0</v>
      </c>
      <c r="N16" s="6">
        <v>107550.35435258433</v>
      </c>
      <c r="O16" s="6">
        <v>17021.436113110201</v>
      </c>
      <c r="P16" s="6">
        <v>1846.6177456936016</v>
      </c>
      <c r="Q16" s="6">
        <v>768.61178861187511</v>
      </c>
      <c r="R16" s="6">
        <v>0</v>
      </c>
      <c r="S16" s="17">
        <v>127187.02</v>
      </c>
      <c r="T16" s="28">
        <v>107550.35435258433</v>
      </c>
      <c r="U16" s="29">
        <v>19636.665647415677</v>
      </c>
    </row>
    <row r="18" spans="1:21">
      <c r="B18" s="3" t="s">
        <v>394</v>
      </c>
      <c r="H18" s="193"/>
    </row>
    <row r="19" spans="1:21">
      <c r="A19" s="3" t="s">
        <v>20</v>
      </c>
      <c r="L19" s="3" t="s">
        <v>20</v>
      </c>
    </row>
    <row r="20" spans="1:21">
      <c r="A20" t="s">
        <v>251</v>
      </c>
      <c r="B20" s="6">
        <v>100</v>
      </c>
      <c r="C20" s="6">
        <f>+B20*C27/-B27</f>
        <v>82.800376123145497</v>
      </c>
      <c r="D20" s="6">
        <f>+B20*D27/-B27</f>
        <v>14.564039081347708</v>
      </c>
      <c r="E20" s="6">
        <f>+B20*E27/-B27</f>
        <v>1.9591646773509277</v>
      </c>
      <c r="F20" s="6">
        <f>+B20*F27/-B27</f>
        <v>0.67642011815585679</v>
      </c>
      <c r="L20" t="s">
        <v>251</v>
      </c>
      <c r="M20">
        <v>100</v>
      </c>
      <c r="N20">
        <v>85.201507335151106</v>
      </c>
      <c r="O20">
        <v>12.668336607387236</v>
      </c>
      <c r="P20">
        <v>1.4839438023897182</v>
      </c>
      <c r="Q20">
        <v>0.6462122550719489</v>
      </c>
    </row>
    <row r="21" spans="1:21">
      <c r="A21" t="s">
        <v>156</v>
      </c>
      <c r="B21" s="18">
        <v>3315.61</v>
      </c>
      <c r="C21" s="18">
        <f>9215.41</f>
        <v>9215.41</v>
      </c>
      <c r="D21" s="18">
        <v>1982.93</v>
      </c>
      <c r="E21" s="18">
        <v>221.23</v>
      </c>
      <c r="F21" s="18">
        <v>95.43</v>
      </c>
      <c r="G21" s="18">
        <v>0</v>
      </c>
      <c r="H21" s="17">
        <f>SUM(B21:G21)</f>
        <v>14830.61</v>
      </c>
      <c r="I21" s="31">
        <f>+C21</f>
        <v>9215.41</v>
      </c>
      <c r="J21" s="33">
        <f t="shared" ref="J21:J34" si="4">+D21+E21+F21</f>
        <v>2299.5899999999997</v>
      </c>
      <c r="L21" t="s">
        <v>156</v>
      </c>
      <c r="M21" s="18">
        <v>9670.5300000000007</v>
      </c>
      <c r="N21" s="18">
        <v>23581.91</v>
      </c>
      <c r="O21" s="18">
        <v>4757.1899999999996</v>
      </c>
      <c r="P21" s="18">
        <v>406.76</v>
      </c>
      <c r="Q21" s="18">
        <v>147.44999999999999</v>
      </c>
      <c r="R21" s="18">
        <v>0</v>
      </c>
      <c r="S21" s="17">
        <v>38563.839999999997</v>
      </c>
      <c r="T21" s="31">
        <v>23581.91</v>
      </c>
      <c r="U21" s="33">
        <v>5311.4</v>
      </c>
    </row>
    <row r="22" spans="1:21">
      <c r="A22" t="s">
        <v>109</v>
      </c>
      <c r="B22" s="18">
        <f>-2507.46+43.44</f>
        <v>-2464.02</v>
      </c>
      <c r="C22" s="18">
        <f>-4612.03+163.65</f>
        <v>-4448.38</v>
      </c>
      <c r="D22" s="18">
        <f>-738.24+53.55</f>
        <v>-684.69</v>
      </c>
      <c r="E22" s="18">
        <f>-84.36+4.28</f>
        <v>-80.08</v>
      </c>
      <c r="F22" s="18">
        <f>-44.1+2.87</f>
        <v>-41.230000000000004</v>
      </c>
      <c r="G22" s="18">
        <f>-104.11-53.08-267.79</f>
        <v>-424.98</v>
      </c>
      <c r="H22" s="196">
        <f>SUM(B22:G22)</f>
        <v>-8143.3799999999992</v>
      </c>
      <c r="I22" s="31">
        <f>+C22</f>
        <v>-4448.38</v>
      </c>
      <c r="J22" s="33">
        <f t="shared" si="4"/>
        <v>-806.00000000000011</v>
      </c>
      <c r="L22" t="s">
        <v>109</v>
      </c>
      <c r="M22" s="18">
        <v>-7562.62</v>
      </c>
      <c r="N22" s="18">
        <v>-12469.23</v>
      </c>
      <c r="O22" s="18">
        <v>-2628.04</v>
      </c>
      <c r="P22" s="18">
        <v>-179.22</v>
      </c>
      <c r="Q22" s="18">
        <v>-104.22</v>
      </c>
      <c r="R22" s="18">
        <v>-462.72</v>
      </c>
      <c r="S22" s="17">
        <v>-23406.05</v>
      </c>
      <c r="T22" s="31">
        <v>-12469.23</v>
      </c>
      <c r="U22" s="33">
        <v>-2911.48</v>
      </c>
    </row>
    <row r="23" spans="1:21">
      <c r="A23" t="s">
        <v>252</v>
      </c>
      <c r="B23" s="18"/>
      <c r="C23" s="18"/>
      <c r="D23" s="18"/>
      <c r="E23" s="18"/>
      <c r="F23" s="18"/>
      <c r="G23" s="18">
        <v>-0.03</v>
      </c>
      <c r="H23" s="17">
        <f>SUM(B23:G23)</f>
        <v>-0.03</v>
      </c>
      <c r="I23" s="31">
        <f>+C23</f>
        <v>0</v>
      </c>
      <c r="J23" s="33">
        <f>+D23+E23+F23+G23</f>
        <v>-0.03</v>
      </c>
      <c r="L23" t="s">
        <v>252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/>
      <c r="S23" s="17">
        <v>0</v>
      </c>
      <c r="T23" s="31">
        <v>0</v>
      </c>
      <c r="U23" s="33">
        <v>0</v>
      </c>
    </row>
    <row r="24" spans="1:21">
      <c r="A24" t="s">
        <v>332</v>
      </c>
      <c r="B24" s="18">
        <v>3.17</v>
      </c>
      <c r="C24" s="18">
        <v>129.38</v>
      </c>
      <c r="D24" s="18">
        <v>7</v>
      </c>
      <c r="E24" s="18">
        <v>0.44</v>
      </c>
      <c r="F24" s="18">
        <v>0.18</v>
      </c>
      <c r="G24" s="18">
        <f>0.45+0.96</f>
        <v>1.41</v>
      </c>
      <c r="H24" s="17">
        <f>SUM(B24:G24)</f>
        <v>141.57999999999998</v>
      </c>
      <c r="I24" s="31">
        <f>+C24</f>
        <v>129.38</v>
      </c>
      <c r="J24" s="33">
        <f>+D24+E24+F24</f>
        <v>7.62</v>
      </c>
      <c r="L24" t="s">
        <v>372</v>
      </c>
      <c r="M24" s="18"/>
      <c r="N24" s="18">
        <v>195.94</v>
      </c>
      <c r="O24" s="18">
        <v>17.46</v>
      </c>
      <c r="P24" s="18">
        <v>1.44</v>
      </c>
      <c r="Q24" s="18">
        <v>0.75</v>
      </c>
      <c r="R24" s="18"/>
      <c r="S24" s="17">
        <v>215.59</v>
      </c>
      <c r="T24" s="31">
        <v>195.94</v>
      </c>
      <c r="U24" s="33">
        <v>19.649999999999999</v>
      </c>
    </row>
    <row r="25" spans="1:21">
      <c r="A25" t="s">
        <v>290</v>
      </c>
      <c r="B25" s="17">
        <v>0</v>
      </c>
      <c r="C25" s="17">
        <f>+C8*($G$22+G23+G24)/$H$8</f>
        <v>-346.01646605868507</v>
      </c>
      <c r="D25" s="17">
        <f>+D8*($G$22+G23+G24)/$H$8</f>
        <v>-65.994189822466794</v>
      </c>
      <c r="E25" s="17">
        <f>+E8*($G$22+G23+G24)/$H$8</f>
        <v>-8.5087366558422612</v>
      </c>
      <c r="F25" s="17">
        <f>+F8*($G$22+G23+G24)/$H$8</f>
        <v>-3.0806074630058138</v>
      </c>
      <c r="G25" s="17">
        <f>-SUM(C25:F25)</f>
        <v>423.59999999999997</v>
      </c>
      <c r="H25" s="17">
        <f>SUM(B25:G25)</f>
        <v>0</v>
      </c>
      <c r="I25" s="31">
        <f>+C25</f>
        <v>-346.01646605868507</v>
      </c>
      <c r="J25" s="33">
        <f t="shared" si="4"/>
        <v>-77.583533941314869</v>
      </c>
      <c r="L25" t="s">
        <v>290</v>
      </c>
      <c r="M25" s="17">
        <v>0</v>
      </c>
      <c r="N25" s="17">
        <v>-388.46212183016399</v>
      </c>
      <c r="O25" s="17">
        <v>-63.358540018627018</v>
      </c>
      <c r="P25" s="17">
        <v>-7.4653374674321817</v>
      </c>
      <c r="Q25" s="17">
        <v>-3.4340006837768056</v>
      </c>
      <c r="R25" s="17">
        <v>462.72</v>
      </c>
      <c r="S25" s="17">
        <v>0</v>
      </c>
      <c r="T25" s="31">
        <v>-388.46212183016399</v>
      </c>
      <c r="U25" s="33">
        <v>-74.257878169836005</v>
      </c>
    </row>
    <row r="26" spans="1:21">
      <c r="A26" t="s">
        <v>112</v>
      </c>
      <c r="B26" s="17">
        <f t="shared" ref="B26:I26" si="5">SUM(B21:B25)</f>
        <v>854.7600000000001</v>
      </c>
      <c r="C26" s="17">
        <f t="shared" si="5"/>
        <v>4550.3935339413147</v>
      </c>
      <c r="D26" s="17">
        <f t="shared" si="5"/>
        <v>1239.2458101775333</v>
      </c>
      <c r="E26" s="17">
        <f t="shared" si="5"/>
        <v>133.08126334415772</v>
      </c>
      <c r="F26" s="17">
        <f t="shared" si="5"/>
        <v>51.299392536994191</v>
      </c>
      <c r="G26" s="17">
        <f t="shared" si="5"/>
        <v>0</v>
      </c>
      <c r="H26" s="17">
        <f t="shared" si="5"/>
        <v>6828.7800000000016</v>
      </c>
      <c r="I26" s="31">
        <f t="shared" si="5"/>
        <v>4550.3935339413147</v>
      </c>
      <c r="J26" s="33">
        <f t="shared" si="4"/>
        <v>1423.6264660586853</v>
      </c>
      <c r="L26" t="s">
        <v>112</v>
      </c>
      <c r="M26" s="17">
        <v>2107.91</v>
      </c>
      <c r="N26" s="17">
        <v>10920.157878169837</v>
      </c>
      <c r="O26" s="17">
        <v>2083.2514599813726</v>
      </c>
      <c r="P26" s="17">
        <v>221.5146625325678</v>
      </c>
      <c r="Q26" s="17">
        <v>40.545999316223181</v>
      </c>
      <c r="R26" s="17">
        <v>0</v>
      </c>
      <c r="S26" s="17">
        <v>15373.38</v>
      </c>
      <c r="T26" s="31">
        <v>10920.157878169837</v>
      </c>
      <c r="U26" s="33">
        <v>2345.3121218301635</v>
      </c>
    </row>
    <row r="27" spans="1:21">
      <c r="A27" t="s">
        <v>113</v>
      </c>
      <c r="B27" s="18">
        <v>31585.4</v>
      </c>
      <c r="C27" s="18">
        <v>-26152.83</v>
      </c>
      <c r="D27" s="18">
        <v>-4600.1099999999997</v>
      </c>
      <c r="E27" s="18">
        <v>-618.80999999999995</v>
      </c>
      <c r="F27" s="18">
        <v>-213.65</v>
      </c>
      <c r="G27" s="18">
        <v>0</v>
      </c>
      <c r="H27" s="17">
        <f>SUM(B27:G27)</f>
        <v>8.5265128291212022E-14</v>
      </c>
      <c r="I27" s="31">
        <f t="shared" ref="I27:I32" si="6">+C27</f>
        <v>-26152.83</v>
      </c>
      <c r="J27" s="33">
        <f t="shared" si="4"/>
        <v>-5432.57</v>
      </c>
      <c r="L27" t="s">
        <v>113</v>
      </c>
      <c r="M27" s="18">
        <v>95248.89</v>
      </c>
      <c r="N27" s="18">
        <v>-81153.490000000005</v>
      </c>
      <c r="O27" s="18">
        <v>-12066.45</v>
      </c>
      <c r="P27" s="18">
        <v>-1413.44</v>
      </c>
      <c r="Q27" s="18">
        <v>-615.51</v>
      </c>
      <c r="R27" s="18">
        <v>0</v>
      </c>
      <c r="S27" s="17">
        <v>-6.5938365878537297E-12</v>
      </c>
      <c r="T27" s="31">
        <v>-81153.490000000005</v>
      </c>
      <c r="U27" s="33">
        <v>-14095.4</v>
      </c>
    </row>
    <row r="28" spans="1:21">
      <c r="A28" t="s">
        <v>111</v>
      </c>
      <c r="B28" s="17">
        <f>-SUM(C28:G28)</f>
        <v>-854.7600000000001</v>
      </c>
      <c r="C28" s="17">
        <f>+$B$26*(-C27)/$B$27</f>
        <v>707.7444949501986</v>
      </c>
      <c r="D28" s="17">
        <f>+$B$26*(-D27)/$B$27</f>
        <v>124.48758045172771</v>
      </c>
      <c r="E28" s="17">
        <f>+$B$26*(-E27)/$B$27</f>
        <v>16.746155996124791</v>
      </c>
      <c r="F28" s="17">
        <f>+$B$26*(-F27)/$B$27</f>
        <v>5.7817686019490022</v>
      </c>
      <c r="G28" s="17">
        <f>+$B$26*(-G27)/$B$27</f>
        <v>0</v>
      </c>
      <c r="H28" s="17">
        <f>SUM(B28:G28)</f>
        <v>-1.7763568394002505E-15</v>
      </c>
      <c r="I28" s="31">
        <f t="shared" si="6"/>
        <v>707.7444949501986</v>
      </c>
      <c r="J28" s="33">
        <f t="shared" si="4"/>
        <v>147.0155050498015</v>
      </c>
      <c r="L28" t="s">
        <v>111</v>
      </c>
      <c r="M28" s="18">
        <v>-2107.91</v>
      </c>
      <c r="N28" s="18">
        <v>1795.9710932683843</v>
      </c>
      <c r="O28" s="18">
        <v>267.03713418077638</v>
      </c>
      <c r="P28" s="18">
        <v>31.280199804953121</v>
      </c>
      <c r="Q28" s="18">
        <v>13.621572745887121</v>
      </c>
      <c r="R28" s="18">
        <v>0</v>
      </c>
      <c r="S28" s="17">
        <v>1.2079226507921703E-13</v>
      </c>
      <c r="T28" s="31">
        <v>1795.9710932683843</v>
      </c>
      <c r="U28" s="33">
        <v>311.93890673161661</v>
      </c>
    </row>
    <row r="29" spans="1:21">
      <c r="A29" s="15" t="s">
        <v>20</v>
      </c>
      <c r="B29" s="17">
        <f t="shared" ref="B29:G29" si="7">+B26+B28</f>
        <v>0</v>
      </c>
      <c r="C29" s="17">
        <f t="shared" si="7"/>
        <v>5258.1380288915134</v>
      </c>
      <c r="D29" s="17">
        <f t="shared" si="7"/>
        <v>1363.7333906292611</v>
      </c>
      <c r="E29" s="17">
        <f t="shared" si="7"/>
        <v>149.82741934028252</v>
      </c>
      <c r="F29" s="17">
        <f t="shared" si="7"/>
        <v>57.081161138943195</v>
      </c>
      <c r="G29" s="17">
        <f t="shared" si="7"/>
        <v>0</v>
      </c>
      <c r="H29" s="17">
        <f>SUM(B29:G29)</f>
        <v>6828.78</v>
      </c>
      <c r="I29" s="145">
        <f t="shared" si="6"/>
        <v>5258.1380288915134</v>
      </c>
      <c r="J29" s="146">
        <f t="shared" si="4"/>
        <v>1570.6419711084868</v>
      </c>
      <c r="L29" s="15" t="s">
        <v>20</v>
      </c>
      <c r="M29" s="18">
        <v>0</v>
      </c>
      <c r="N29" s="18">
        <v>12716.128971438222</v>
      </c>
      <c r="O29" s="18">
        <v>2350.2885941621489</v>
      </c>
      <c r="P29" s="18">
        <v>252.79486233752093</v>
      </c>
      <c r="Q29" s="18">
        <v>54.167572062110303</v>
      </c>
      <c r="R29" s="18">
        <v>0</v>
      </c>
      <c r="S29" s="17">
        <v>15373.38</v>
      </c>
      <c r="T29" s="28">
        <v>12716.128971438222</v>
      </c>
      <c r="U29" s="29">
        <v>2657.25102856178</v>
      </c>
    </row>
    <row r="30" spans="1:21">
      <c r="A30" s="15" t="s">
        <v>245</v>
      </c>
      <c r="B30" s="12">
        <v>0</v>
      </c>
      <c r="C30" s="12">
        <v>-578.79999999999995</v>
      </c>
      <c r="D30" s="12">
        <v>-154.44999999999999</v>
      </c>
      <c r="E30" s="12">
        <v>-22.18</v>
      </c>
      <c r="F30" s="12">
        <v>-6.5</v>
      </c>
      <c r="G30" s="12"/>
      <c r="H30" s="196">
        <f>SUM(B30:G30)</f>
        <v>-761.93</v>
      </c>
      <c r="I30" s="31">
        <f t="shared" si="6"/>
        <v>-578.79999999999995</v>
      </c>
      <c r="J30" s="33">
        <f t="shared" si="4"/>
        <v>-183.13</v>
      </c>
      <c r="L30" s="15" t="s">
        <v>245</v>
      </c>
      <c r="M30">
        <v>0</v>
      </c>
      <c r="N30">
        <v>-1478.11</v>
      </c>
      <c r="O30">
        <v>-285.95</v>
      </c>
      <c r="P30">
        <v>-43.16</v>
      </c>
      <c r="Q30">
        <v>-5.6</v>
      </c>
      <c r="S30" s="17">
        <v>-1812.82</v>
      </c>
      <c r="T30" s="12">
        <v>-1478.11</v>
      </c>
      <c r="U30" s="12">
        <v>-334.71</v>
      </c>
    </row>
    <row r="31" spans="1:21">
      <c r="A31" s="15" t="s">
        <v>249</v>
      </c>
      <c r="B31" s="16">
        <v>0</v>
      </c>
      <c r="C31" s="17">
        <f>+C30*$H$31/$H$30</f>
        <v>23.928969852873621</v>
      </c>
      <c r="D31" s="17">
        <f>+D30*$H$31/$H$30</f>
        <v>6.3853306734214428</v>
      </c>
      <c r="E31" s="17">
        <f>+E30*$H$31/$H$30</f>
        <v>0.9169740002362422</v>
      </c>
      <c r="F31" s="17">
        <f>+F30*$H$31/$H$30</f>
        <v>0.26872547346869136</v>
      </c>
      <c r="G31" s="16"/>
      <c r="H31" s="12">
        <v>31.5</v>
      </c>
      <c r="I31" s="31">
        <f>+C31</f>
        <v>23.928969852873621</v>
      </c>
      <c r="J31" s="33">
        <f t="shared" si="4"/>
        <v>7.5710301471263763</v>
      </c>
      <c r="L31" s="15" t="s">
        <v>249</v>
      </c>
      <c r="M31">
        <v>0</v>
      </c>
      <c r="N31">
        <v>0</v>
      </c>
      <c r="O31">
        <v>0</v>
      </c>
      <c r="P31">
        <v>0</v>
      </c>
      <c r="Q31">
        <v>0</v>
      </c>
      <c r="S31" s="17">
        <v>0</v>
      </c>
      <c r="T31" s="12">
        <v>0</v>
      </c>
      <c r="U31" s="12">
        <v>0</v>
      </c>
    </row>
    <row r="32" spans="1:21">
      <c r="A32" s="15" t="s">
        <v>323</v>
      </c>
      <c r="B32" s="12">
        <v>0</v>
      </c>
      <c r="C32" s="12">
        <v>175.8</v>
      </c>
      <c r="D32" s="12">
        <v>50.13</v>
      </c>
      <c r="E32" s="12">
        <v>50.87</v>
      </c>
      <c r="F32" s="12">
        <v>1.94</v>
      </c>
      <c r="G32" s="12"/>
      <c r="H32" s="196">
        <f>SUM(B32:G32)</f>
        <v>278.74</v>
      </c>
      <c r="I32" s="31">
        <f t="shared" si="6"/>
        <v>175.8</v>
      </c>
      <c r="J32" s="33">
        <f t="shared" si="4"/>
        <v>102.94</v>
      </c>
      <c r="L32" s="15" t="s">
        <v>294</v>
      </c>
      <c r="M32">
        <v>0</v>
      </c>
      <c r="N32">
        <v>609.74</v>
      </c>
      <c r="O32">
        <v>138.61000000000001</v>
      </c>
      <c r="P32">
        <v>114.7</v>
      </c>
      <c r="Q32">
        <v>1.24</v>
      </c>
      <c r="S32" s="17">
        <v>864.29</v>
      </c>
      <c r="T32" s="12">
        <v>609.74</v>
      </c>
      <c r="U32" s="12">
        <v>254.55</v>
      </c>
    </row>
    <row r="33" spans="1:21">
      <c r="A33" s="34" t="s">
        <v>295</v>
      </c>
      <c r="B33" s="12">
        <v>0.26</v>
      </c>
      <c r="C33" s="12">
        <v>-2.19</v>
      </c>
      <c r="D33" s="12">
        <v>7.0000000000000007E-2</v>
      </c>
      <c r="E33" s="12">
        <v>0</v>
      </c>
      <c r="F33" s="12">
        <v>0</v>
      </c>
      <c r="G33" s="12">
        <v>-0.36</v>
      </c>
      <c r="H33" s="196">
        <f>SUM(B33:G33)</f>
        <v>-2.2199999999999998</v>
      </c>
      <c r="I33" s="31">
        <f>+C33</f>
        <v>-2.19</v>
      </c>
      <c r="J33" s="33">
        <f t="shared" si="4"/>
        <v>7.0000000000000007E-2</v>
      </c>
      <c r="L33" s="34" t="s">
        <v>295</v>
      </c>
      <c r="M33" s="12">
        <v>-39.520000000000003</v>
      </c>
      <c r="N33" s="12">
        <v>1669.79</v>
      </c>
      <c r="O33" s="12">
        <v>48.27</v>
      </c>
      <c r="P33" s="12">
        <v>-1.81</v>
      </c>
      <c r="Q33" s="12">
        <v>-0.5</v>
      </c>
      <c r="R33" s="12"/>
      <c r="S33" s="17">
        <v>1676.23</v>
      </c>
      <c r="T33" s="31">
        <v>1669.79</v>
      </c>
      <c r="U33" s="33">
        <v>45.96</v>
      </c>
    </row>
    <row r="34" spans="1:21">
      <c r="A34" s="34" t="s">
        <v>296</v>
      </c>
      <c r="B34" s="17">
        <f>SUM(C34:G34)*-1</f>
        <v>-0.26</v>
      </c>
      <c r="C34" s="17">
        <f>(+$B33*C27/$B$27)*-1</f>
        <v>0.21528097792017831</v>
      </c>
      <c r="D34" s="17">
        <f>(+$B33*D27/$B$27)*-1</f>
        <v>3.7866501611504046E-2</v>
      </c>
      <c r="E34" s="17">
        <f>(+$B33*E27/$B$27)*-1</f>
        <v>5.0938281611124115E-3</v>
      </c>
      <c r="F34" s="17">
        <f>(+$B33*F27/$B$27)*-1</f>
        <v>1.7586923072052279E-3</v>
      </c>
      <c r="G34" s="17"/>
      <c r="H34" s="17">
        <f>SUM(B34:G34)</f>
        <v>-1.6913553890773869E-17</v>
      </c>
      <c r="I34" s="31">
        <f>+C34</f>
        <v>0.21528097792017831</v>
      </c>
      <c r="J34" s="33">
        <f t="shared" si="4"/>
        <v>4.4719022079821681E-2</v>
      </c>
      <c r="L34" s="34" t="s">
        <v>296</v>
      </c>
      <c r="M34" s="18">
        <v>39.520000000000003</v>
      </c>
      <c r="N34" s="18">
        <v>-33.671635698851723</v>
      </c>
      <c r="O34" s="18">
        <v>-5.0065266272394364</v>
      </c>
      <c r="P34" s="18">
        <v>-0.58645459070441674</v>
      </c>
      <c r="Q34" s="18">
        <v>-0.2553830832044342</v>
      </c>
      <c r="R34" s="18"/>
      <c r="S34" s="17">
        <v>-4.9960036108132044E-16</v>
      </c>
      <c r="T34" s="31">
        <v>-33.671635698851723</v>
      </c>
      <c r="U34" s="33">
        <v>-5.8483643011482878</v>
      </c>
    </row>
    <row r="35" spans="1:21">
      <c r="A35" s="15" t="s">
        <v>246</v>
      </c>
      <c r="B35" s="17">
        <f t="shared" ref="B35:G35" si="8">+B29+B30+B32+B31+B33+B34</f>
        <v>0</v>
      </c>
      <c r="C35" s="17">
        <f t="shared" si="8"/>
        <v>4877.0922797223075</v>
      </c>
      <c r="D35" s="17">
        <f t="shared" si="8"/>
        <v>1265.9065878042941</v>
      </c>
      <c r="E35" s="17">
        <f t="shared" si="8"/>
        <v>179.43948716867988</v>
      </c>
      <c r="F35" s="17">
        <f t="shared" si="8"/>
        <v>52.79164530471909</v>
      </c>
      <c r="G35" s="17">
        <f t="shared" si="8"/>
        <v>-0.36</v>
      </c>
      <c r="H35" s="17">
        <f>+H29+H30+H32+H31+H33+H34</f>
        <v>6374.869999999999</v>
      </c>
      <c r="I35" s="17">
        <f>+I29+I30+I32+I31+I33+I34</f>
        <v>4877.0922797223075</v>
      </c>
      <c r="J35" s="17">
        <f>+J29+J30+J32+J31+J33+J34</f>
        <v>1498.1377202776928</v>
      </c>
      <c r="L35" s="15" t="s">
        <v>246</v>
      </c>
      <c r="M35">
        <v>0</v>
      </c>
      <c r="N35">
        <v>13483.877335739369</v>
      </c>
      <c r="O35">
        <v>2246.2120675349097</v>
      </c>
      <c r="P35">
        <v>321.93840774681649</v>
      </c>
      <c r="Q35">
        <v>49.052188978905868</v>
      </c>
      <c r="R35">
        <v>0</v>
      </c>
      <c r="S35" s="17">
        <v>16101.08</v>
      </c>
      <c r="T35" s="17">
        <v>13483.877335739369</v>
      </c>
      <c r="U35" s="17">
        <v>2617.202664260632</v>
      </c>
    </row>
    <row r="36" spans="1:21">
      <c r="G36" t="s">
        <v>395</v>
      </c>
      <c r="H36" s="17">
        <v>6374.87</v>
      </c>
      <c r="I36" s="17">
        <v>4896.2173030526737</v>
      </c>
      <c r="J36" s="17">
        <v>1479.0126969473265</v>
      </c>
      <c r="S36">
        <v>1676.23</v>
      </c>
    </row>
    <row r="37" spans="1:21" ht="26">
      <c r="A37" s="38" t="s">
        <v>114</v>
      </c>
      <c r="H37" s="6"/>
      <c r="I37" s="6"/>
      <c r="J37" s="6"/>
      <c r="L37" s="38" t="s">
        <v>114</v>
      </c>
    </row>
    <row r="38" spans="1:21">
      <c r="A38" s="15" t="s">
        <v>248</v>
      </c>
      <c r="G38" s="20">
        <v>27.7</v>
      </c>
      <c r="I38" s="3" t="s">
        <v>214</v>
      </c>
      <c r="J38" s="4">
        <f>+H24+H23</f>
        <v>141.54999999999998</v>
      </c>
      <c r="L38" s="15" t="s">
        <v>248</v>
      </c>
      <c r="R38" s="12">
        <v>22.18</v>
      </c>
      <c r="T38" t="s">
        <v>214</v>
      </c>
      <c r="U38">
        <v>215.59</v>
      </c>
    </row>
    <row r="39" spans="1:21">
      <c r="A39" s="34" t="s">
        <v>116</v>
      </c>
      <c r="G39" s="20">
        <v>41.52</v>
      </c>
      <c r="I39" s="3" t="s">
        <v>291</v>
      </c>
      <c r="J39" s="3">
        <f>+H31</f>
        <v>31.5</v>
      </c>
      <c r="L39" s="34" t="s">
        <v>116</v>
      </c>
      <c r="R39" s="12">
        <v>299.77</v>
      </c>
      <c r="T39" t="s">
        <v>291</v>
      </c>
      <c r="U39">
        <v>0</v>
      </c>
    </row>
    <row r="40" spans="1:21">
      <c r="A40" s="34" t="s">
        <v>117</v>
      </c>
      <c r="G40" s="20">
        <v>190.31</v>
      </c>
      <c r="I40" s="3" t="s">
        <v>373</v>
      </c>
      <c r="J40" s="4">
        <f>+G44</f>
        <v>2.73</v>
      </c>
      <c r="L40" s="34" t="s">
        <v>117</v>
      </c>
      <c r="R40" s="12">
        <v>64.180000000000007</v>
      </c>
      <c r="T40" t="s">
        <v>373</v>
      </c>
      <c r="U40">
        <v>26.14</v>
      </c>
    </row>
    <row r="41" spans="1:21">
      <c r="A41" s="34" t="s">
        <v>374</v>
      </c>
      <c r="G41" s="12"/>
      <c r="I41" s="3" t="s">
        <v>375</v>
      </c>
      <c r="J41" s="6">
        <f>+G45-19.48-1</f>
        <v>1.629999999999999</v>
      </c>
      <c r="L41" s="34" t="s">
        <v>374</v>
      </c>
      <c r="R41" s="12"/>
      <c r="U41">
        <v>241.73</v>
      </c>
    </row>
    <row r="42" spans="1:21">
      <c r="A42" s="34" t="s">
        <v>24</v>
      </c>
      <c r="G42" s="12"/>
      <c r="H42" s="6">
        <f>SUM(G38:G42)</f>
        <v>259.52999999999997</v>
      </c>
      <c r="I42" s="3" t="s">
        <v>122</v>
      </c>
      <c r="L42" s="34" t="s">
        <v>24</v>
      </c>
      <c r="R42" s="12"/>
      <c r="S42" s="6">
        <v>386.13</v>
      </c>
    </row>
    <row r="43" spans="1:21">
      <c r="A43" s="3" t="s">
        <v>120</v>
      </c>
      <c r="H43" s="6"/>
      <c r="L43" s="3" t="s">
        <v>120</v>
      </c>
      <c r="S43" s="6"/>
    </row>
    <row r="44" spans="1:21">
      <c r="A44" s="36" t="s">
        <v>123</v>
      </c>
      <c r="G44" s="18">
        <v>2.73</v>
      </c>
      <c r="H44" s="6"/>
      <c r="J44" s="4">
        <f>+J38+J39+J40+J41+J42</f>
        <v>177.40999999999997</v>
      </c>
      <c r="L44" s="36" t="s">
        <v>123</v>
      </c>
      <c r="R44" s="18">
        <v>23.14</v>
      </c>
      <c r="S44" s="6"/>
    </row>
    <row r="45" spans="1:21">
      <c r="A45" s="36" t="s">
        <v>330</v>
      </c>
      <c r="G45" s="18">
        <f>1.63+19.48+1</f>
        <v>22.11</v>
      </c>
      <c r="H45" s="6"/>
      <c r="L45" s="34" t="s">
        <v>124</v>
      </c>
      <c r="R45" s="18"/>
      <c r="S45" s="6"/>
    </row>
    <row r="46" spans="1:21">
      <c r="A46" s="34"/>
      <c r="G46" s="12"/>
      <c r="H46" s="6"/>
      <c r="L46" s="34" t="s">
        <v>121</v>
      </c>
      <c r="R46" s="12"/>
      <c r="S46" s="6"/>
    </row>
    <row r="47" spans="1:21">
      <c r="A47" s="34" t="s">
        <v>125</v>
      </c>
      <c r="G47" s="18"/>
      <c r="H47" s="6"/>
      <c r="L47" s="34" t="s">
        <v>125</v>
      </c>
      <c r="R47" s="12"/>
      <c r="S47" s="6"/>
    </row>
    <row r="48" spans="1:21">
      <c r="A48" s="34" t="s">
        <v>196</v>
      </c>
      <c r="G48" s="18"/>
      <c r="H48" s="6">
        <f>SUM(G44:G48)</f>
        <v>24.84</v>
      </c>
      <c r="J48" s="6"/>
      <c r="L48" s="34" t="s">
        <v>196</v>
      </c>
      <c r="R48" s="18">
        <v>3</v>
      </c>
      <c r="S48" s="6">
        <v>26.14</v>
      </c>
      <c r="U48" s="6"/>
    </row>
    <row r="49" spans="1:21" ht="26">
      <c r="A49" s="35" t="s">
        <v>114</v>
      </c>
      <c r="H49" s="4">
        <f>SUM(G38:G48)</f>
        <v>284.37</v>
      </c>
      <c r="L49" s="35" t="s">
        <v>114</v>
      </c>
      <c r="S49" s="4">
        <v>412.27</v>
      </c>
    </row>
    <row r="50" spans="1:21" ht="13">
      <c r="A50" s="35"/>
      <c r="H50" s="6"/>
      <c r="L50" s="35"/>
      <c r="S50" s="6"/>
    </row>
    <row r="51" spans="1:21">
      <c r="A51" s="5" t="s">
        <v>118</v>
      </c>
      <c r="H51" s="19">
        <f>-64.73-19.48-1</f>
        <v>-85.210000000000008</v>
      </c>
      <c r="I51" s="12">
        <v>-64.73</v>
      </c>
      <c r="L51" s="5" t="s">
        <v>118</v>
      </c>
      <c r="S51" s="4">
        <v>-194.97</v>
      </c>
      <c r="T51">
        <v>-194.97</v>
      </c>
    </row>
    <row r="52" spans="1:21" ht="13">
      <c r="A52" s="35" t="s">
        <v>126</v>
      </c>
      <c r="G52" s="3" t="s">
        <v>376</v>
      </c>
      <c r="H52" s="6">
        <f>+H35+H49+H51</f>
        <v>6574.0299999999988</v>
      </c>
      <c r="I52" s="6">
        <f>+H35+H42+I51-H31-H23-H24-H11</f>
        <v>6396.619999999999</v>
      </c>
      <c r="J52" s="3" t="s">
        <v>131</v>
      </c>
      <c r="L52" s="35" t="s">
        <v>126</v>
      </c>
      <c r="R52" s="3" t="s">
        <v>376</v>
      </c>
      <c r="S52" s="6">
        <v>16318.38</v>
      </c>
      <c r="T52" s="6">
        <v>16076.65</v>
      </c>
      <c r="U52" s="3" t="s">
        <v>131</v>
      </c>
    </row>
    <row r="53" spans="1:21" ht="13">
      <c r="A53" s="35"/>
      <c r="G53" s="3" t="s">
        <v>130</v>
      </c>
      <c r="H53" s="6">
        <v>-6574.0258506009059</v>
      </c>
      <c r="I53">
        <v>6396.61</v>
      </c>
      <c r="J53" s="3" t="s">
        <v>131</v>
      </c>
      <c r="R53" t="s">
        <v>130</v>
      </c>
      <c r="S53">
        <v>-16318.380224232</v>
      </c>
      <c r="T53">
        <v>16076.65</v>
      </c>
      <c r="U53" t="s">
        <v>131</v>
      </c>
    </row>
    <row r="54" spans="1:21">
      <c r="H54" s="6">
        <f>+H53+H52</f>
        <v>4.1493990929666325E-3</v>
      </c>
      <c r="I54" s="6">
        <f>+I53-I52</f>
        <v>-9.999999999308784E-3</v>
      </c>
      <c r="J54" s="6">
        <f>+H53+I53</f>
        <v>-177.4158506009062</v>
      </c>
      <c r="S54">
        <v>-2.2423199698096141E-4</v>
      </c>
      <c r="T54">
        <v>0</v>
      </c>
    </row>
    <row r="55" spans="1:21">
      <c r="H55" s="6"/>
    </row>
    <row r="56" spans="1:21">
      <c r="A56" t="s">
        <v>331</v>
      </c>
    </row>
    <row r="57" spans="1:21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</row>
    <row r="59" spans="1:21">
      <c r="A59" s="3" t="s">
        <v>95</v>
      </c>
    </row>
    <row r="60" spans="1:21">
      <c r="A60" s="3" t="s">
        <v>127</v>
      </c>
    </row>
    <row r="61" spans="1:21">
      <c r="A61" s="3"/>
      <c r="B61" s="3" t="s">
        <v>129</v>
      </c>
      <c r="C61" s="122" t="str">
        <f>+C3</f>
        <v>Mar 07</v>
      </c>
    </row>
    <row r="62" spans="1:21">
      <c r="A62" s="3" t="s">
        <v>128</v>
      </c>
      <c r="B62" s="3" t="s">
        <v>97</v>
      </c>
      <c r="C62" s="3" t="s">
        <v>93</v>
      </c>
      <c r="D62" s="3" t="s">
        <v>98</v>
      </c>
      <c r="E62" s="3" t="s">
        <v>99</v>
      </c>
      <c r="F62" s="3" t="s">
        <v>100</v>
      </c>
      <c r="G62" s="3" t="s">
        <v>102</v>
      </c>
      <c r="H62" s="3" t="s">
        <v>91</v>
      </c>
      <c r="I62" s="3" t="s">
        <v>93</v>
      </c>
      <c r="J62" s="3" t="s">
        <v>94</v>
      </c>
    </row>
    <row r="64" spans="1:21">
      <c r="A64" s="3" t="s">
        <v>17</v>
      </c>
    </row>
    <row r="66" spans="1:10">
      <c r="A66" t="s">
        <v>101</v>
      </c>
      <c r="B66" s="12">
        <f t="shared" ref="B66:J74" si="9">+B8-M8</f>
        <v>0</v>
      </c>
      <c r="C66" s="12">
        <f t="shared" si="9"/>
        <v>-100413</v>
      </c>
      <c r="D66" s="12">
        <f t="shared" si="9"/>
        <v>-15217</v>
      </c>
      <c r="E66" s="12">
        <f t="shared" si="9"/>
        <v>-1704</v>
      </c>
      <c r="F66" s="12">
        <f t="shared" si="9"/>
        <v>-885</v>
      </c>
      <c r="G66" s="12">
        <f t="shared" si="9"/>
        <v>0</v>
      </c>
      <c r="H66" s="12">
        <f t="shared" si="9"/>
        <v>-118219</v>
      </c>
      <c r="I66" s="12">
        <f t="shared" si="9"/>
        <v>-100413</v>
      </c>
      <c r="J66" s="12">
        <f t="shared" si="9"/>
        <v>-17806</v>
      </c>
    </row>
    <row r="67" spans="1:10">
      <c r="A67" t="s">
        <v>103</v>
      </c>
      <c r="B67" s="18">
        <f t="shared" si="9"/>
        <v>0</v>
      </c>
      <c r="C67" s="18">
        <f t="shared" si="9"/>
        <v>-84388.040000000008</v>
      </c>
      <c r="D67" s="18">
        <f t="shared" si="9"/>
        <v>-11897.75</v>
      </c>
      <c r="E67" s="18">
        <f t="shared" si="9"/>
        <v>-1160.3799999999997</v>
      </c>
      <c r="F67" s="18">
        <f t="shared" si="9"/>
        <v>-537.30999999999995</v>
      </c>
      <c r="G67" s="18">
        <f t="shared" si="9"/>
        <v>0</v>
      </c>
      <c r="H67" s="18">
        <f t="shared" si="9"/>
        <v>-97983.48000000001</v>
      </c>
      <c r="I67" s="18">
        <f t="shared" si="9"/>
        <v>-84388.040000000008</v>
      </c>
      <c r="J67" s="18">
        <f t="shared" si="9"/>
        <v>-13595.44</v>
      </c>
    </row>
    <row r="68" spans="1:10">
      <c r="A68" t="s">
        <v>104</v>
      </c>
      <c r="B68" s="18">
        <f t="shared" si="9"/>
        <v>0</v>
      </c>
      <c r="C68" s="18">
        <f t="shared" si="9"/>
        <v>2161.0300000000002</v>
      </c>
      <c r="D68" s="18">
        <f t="shared" si="9"/>
        <v>-5.9400000000000013</v>
      </c>
      <c r="E68" s="18">
        <f t="shared" si="9"/>
        <v>26.35</v>
      </c>
      <c r="F68" s="18">
        <f t="shared" si="9"/>
        <v>8.0000000000000016E-2</v>
      </c>
      <c r="G68" s="18">
        <f t="shared" si="9"/>
        <v>0</v>
      </c>
      <c r="H68" s="18">
        <f t="shared" si="9"/>
        <v>2181.5200000000004</v>
      </c>
      <c r="I68" s="18">
        <f t="shared" si="9"/>
        <v>2161.0300000000002</v>
      </c>
      <c r="J68" s="18">
        <f t="shared" si="9"/>
        <v>20.489999999999995</v>
      </c>
    </row>
    <row r="69" spans="1:10">
      <c r="A69" t="s">
        <v>327</v>
      </c>
      <c r="B69" s="18">
        <f t="shared" si="9"/>
        <v>0</v>
      </c>
      <c r="C69" s="18">
        <f t="shared" si="9"/>
        <v>0</v>
      </c>
      <c r="D69" s="18">
        <f t="shared" si="9"/>
        <v>0</v>
      </c>
      <c r="E69" s="18">
        <f t="shared" si="9"/>
        <v>0</v>
      </c>
      <c r="F69" s="18">
        <f t="shared" si="9"/>
        <v>0</v>
      </c>
      <c r="G69" s="18">
        <f t="shared" si="9"/>
        <v>0</v>
      </c>
      <c r="H69" s="18">
        <f t="shared" si="9"/>
        <v>0</v>
      </c>
      <c r="I69" s="18">
        <f t="shared" si="9"/>
        <v>0</v>
      </c>
      <c r="J69" s="18">
        <f t="shared" si="9"/>
        <v>0</v>
      </c>
    </row>
    <row r="70" spans="1:10">
      <c r="A70" t="s">
        <v>326</v>
      </c>
      <c r="B70" s="18">
        <f t="shared" si="9"/>
        <v>0</v>
      </c>
      <c r="C70" s="18">
        <f t="shared" si="9"/>
        <v>17.79</v>
      </c>
      <c r="D70" s="18">
        <f t="shared" si="9"/>
        <v>2.5</v>
      </c>
      <c r="E70" s="18">
        <f t="shared" si="9"/>
        <v>0.16</v>
      </c>
      <c r="F70" s="18">
        <f t="shared" si="9"/>
        <v>0.06</v>
      </c>
      <c r="G70" s="18">
        <f t="shared" si="9"/>
        <v>0</v>
      </c>
      <c r="H70" s="18">
        <f t="shared" si="9"/>
        <v>20.509999999999998</v>
      </c>
      <c r="I70" s="18">
        <f t="shared" si="9"/>
        <v>17.79</v>
      </c>
      <c r="J70" s="18">
        <f t="shared" si="9"/>
        <v>2.72</v>
      </c>
    </row>
    <row r="71" spans="1:10">
      <c r="A71" t="s">
        <v>105</v>
      </c>
      <c r="B71" s="18">
        <f t="shared" si="9"/>
        <v>0</v>
      </c>
      <c r="C71" s="18">
        <f t="shared" si="9"/>
        <v>-82209.22</v>
      </c>
      <c r="D71" s="18">
        <f t="shared" si="9"/>
        <v>-11901.189999999999</v>
      </c>
      <c r="E71" s="18">
        <f t="shared" si="9"/>
        <v>-1133.8699999999999</v>
      </c>
      <c r="F71" s="18">
        <f t="shared" si="9"/>
        <v>-537.16999999999996</v>
      </c>
      <c r="G71" s="18">
        <f t="shared" si="9"/>
        <v>0</v>
      </c>
      <c r="H71" s="18">
        <f t="shared" si="9"/>
        <v>-95781.450000000012</v>
      </c>
      <c r="I71" s="18">
        <f t="shared" si="9"/>
        <v>-82209.22</v>
      </c>
      <c r="J71" s="18">
        <f>+J13-U13</f>
        <v>-13572.23</v>
      </c>
    </row>
    <row r="72" spans="1:10">
      <c r="A72" t="s">
        <v>106</v>
      </c>
      <c r="B72" s="18">
        <f t="shared" si="9"/>
        <v>0</v>
      </c>
      <c r="C72" s="18">
        <f t="shared" si="9"/>
        <v>11576.59</v>
      </c>
      <c r="D72" s="18">
        <f t="shared" si="9"/>
        <v>1556.5000000000002</v>
      </c>
      <c r="E72" s="18">
        <f t="shared" si="9"/>
        <v>146.06</v>
      </c>
      <c r="F72" s="18">
        <f t="shared" si="9"/>
        <v>72.89</v>
      </c>
      <c r="G72" s="18">
        <f t="shared" si="9"/>
        <v>0</v>
      </c>
      <c r="H72" s="18">
        <f t="shared" si="9"/>
        <v>13352.04</v>
      </c>
      <c r="I72" s="18">
        <f t="shared" si="9"/>
        <v>11576.59</v>
      </c>
      <c r="J72" s="18">
        <f>+J14-U14</f>
        <v>1775.45</v>
      </c>
    </row>
    <row r="73" spans="1:10">
      <c r="A73" t="s">
        <v>107</v>
      </c>
      <c r="B73" s="18">
        <f t="shared" si="9"/>
        <v>0</v>
      </c>
      <c r="C73" s="18">
        <f t="shared" si="9"/>
        <v>11111.757932428754</v>
      </c>
      <c r="D73" s="18">
        <f t="shared" si="9"/>
        <v>1485.6720087325507</v>
      </c>
      <c r="E73" s="18">
        <f t="shared" si="9"/>
        <v>138.53437231063822</v>
      </c>
      <c r="F73" s="18">
        <f t="shared" si="9"/>
        <v>69.675686528056772</v>
      </c>
      <c r="G73" s="18">
        <f t="shared" si="9"/>
        <v>0</v>
      </c>
      <c r="H73" s="18">
        <f t="shared" si="9"/>
        <v>12805.64</v>
      </c>
      <c r="I73" s="18">
        <f t="shared" si="9"/>
        <v>11111.757932428754</v>
      </c>
      <c r="J73" s="18">
        <f>+J15-U15</f>
        <v>1693.8820675712454</v>
      </c>
    </row>
    <row r="74" spans="1:10">
      <c r="A74" t="s">
        <v>39</v>
      </c>
      <c r="B74" s="18">
        <f t="shared" si="9"/>
        <v>0</v>
      </c>
      <c r="C74" s="18">
        <f t="shared" si="9"/>
        <v>-71097.46206757125</v>
      </c>
      <c r="D74" s="18">
        <f t="shared" si="9"/>
        <v>-10415.517991267447</v>
      </c>
      <c r="E74" s="18">
        <f t="shared" si="9"/>
        <v>-995.33562768936179</v>
      </c>
      <c r="F74" s="18">
        <f t="shared" si="9"/>
        <v>-467.4943134719432</v>
      </c>
      <c r="G74" s="18">
        <f t="shared" si="9"/>
        <v>0</v>
      </c>
      <c r="H74" s="18">
        <f t="shared" si="9"/>
        <v>-82975.81</v>
      </c>
      <c r="I74" s="18">
        <f t="shared" si="9"/>
        <v>-71097.46206757125</v>
      </c>
      <c r="J74" s="18">
        <f>+J16-U16</f>
        <v>-11878.347932428751</v>
      </c>
    </row>
    <row r="77" spans="1:10">
      <c r="A77" s="3" t="s">
        <v>20</v>
      </c>
    </row>
    <row r="78" spans="1:10">
      <c r="A78" t="s">
        <v>251</v>
      </c>
      <c r="B78" s="6">
        <v>100</v>
      </c>
      <c r="C78" s="6">
        <f>+B78*C85/-B85</f>
        <v>86.392781796913738</v>
      </c>
      <c r="D78" s="6">
        <f>+B78*D85/-B85</f>
        <v>11.727820765088438</v>
      </c>
      <c r="E78" s="6">
        <f>+B78*E85/-B85</f>
        <v>1.2481722255565948</v>
      </c>
      <c r="F78" s="6">
        <f>+B78*F85/-B85</f>
        <v>0.63122521244122809</v>
      </c>
    </row>
    <row r="79" spans="1:10">
      <c r="A79" t="s">
        <v>156</v>
      </c>
      <c r="B79" s="18">
        <f t="shared" ref="B79:J91" si="10">+B21-M21</f>
        <v>-6354.92</v>
      </c>
      <c r="C79" s="18">
        <f t="shared" si="10"/>
        <v>-14366.5</v>
      </c>
      <c r="D79" s="18">
        <f t="shared" si="10"/>
        <v>-2774.2599999999993</v>
      </c>
      <c r="E79" s="18">
        <f t="shared" si="10"/>
        <v>-185.53</v>
      </c>
      <c r="F79" s="18">
        <f t="shared" si="10"/>
        <v>-52.019999999999982</v>
      </c>
      <c r="G79" s="18">
        <f t="shared" si="10"/>
        <v>0</v>
      </c>
      <c r="H79" s="18">
        <f t="shared" si="10"/>
        <v>-23733.229999999996</v>
      </c>
      <c r="I79" s="18">
        <f t="shared" si="10"/>
        <v>-14366.5</v>
      </c>
      <c r="J79" s="18">
        <f t="shared" si="10"/>
        <v>-3011.81</v>
      </c>
    </row>
    <row r="80" spans="1:10">
      <c r="A80" t="s">
        <v>109</v>
      </c>
      <c r="B80" s="18">
        <f t="shared" si="10"/>
        <v>5098.6000000000004</v>
      </c>
      <c r="C80" s="18">
        <f t="shared" si="10"/>
        <v>8020.8499999999995</v>
      </c>
      <c r="D80" s="18">
        <f t="shared" si="10"/>
        <v>1943.35</v>
      </c>
      <c r="E80" s="18">
        <f t="shared" si="10"/>
        <v>99.14</v>
      </c>
      <c r="F80" s="18">
        <f t="shared" si="10"/>
        <v>62.989999999999995</v>
      </c>
      <c r="G80" s="18">
        <f t="shared" si="10"/>
        <v>37.740000000000009</v>
      </c>
      <c r="H80" s="18">
        <f t="shared" si="10"/>
        <v>15262.67</v>
      </c>
      <c r="I80" s="18">
        <f t="shared" si="10"/>
        <v>8020.8499999999995</v>
      </c>
      <c r="J80" s="18">
        <f t="shared" si="10"/>
        <v>2105.48</v>
      </c>
    </row>
    <row r="81" spans="1:10">
      <c r="A81" t="s">
        <v>252</v>
      </c>
      <c r="B81" s="18">
        <f t="shared" si="10"/>
        <v>0</v>
      </c>
      <c r="C81" s="18">
        <f t="shared" si="10"/>
        <v>0</v>
      </c>
      <c r="D81" s="18">
        <f t="shared" si="10"/>
        <v>0</v>
      </c>
      <c r="E81" s="18">
        <f t="shared" si="10"/>
        <v>0</v>
      </c>
      <c r="F81" s="18">
        <f t="shared" si="10"/>
        <v>0</v>
      </c>
      <c r="G81" s="18">
        <f t="shared" si="10"/>
        <v>-0.03</v>
      </c>
      <c r="H81" s="18">
        <f t="shared" si="10"/>
        <v>-0.03</v>
      </c>
      <c r="I81" s="18">
        <f t="shared" si="10"/>
        <v>0</v>
      </c>
      <c r="J81" s="18">
        <f t="shared" si="10"/>
        <v>-0.03</v>
      </c>
    </row>
    <row r="82" spans="1:10">
      <c r="A82" t="s">
        <v>250</v>
      </c>
      <c r="B82" s="18">
        <f t="shared" si="10"/>
        <v>3.17</v>
      </c>
      <c r="C82" s="18">
        <f t="shared" si="10"/>
        <v>-66.56</v>
      </c>
      <c r="D82" s="18">
        <f t="shared" si="10"/>
        <v>-10.46</v>
      </c>
      <c r="E82" s="18">
        <f t="shared" si="10"/>
        <v>-1</v>
      </c>
      <c r="F82" s="18">
        <f t="shared" si="10"/>
        <v>-0.57000000000000006</v>
      </c>
      <c r="G82" s="18">
        <f t="shared" si="10"/>
        <v>1.41</v>
      </c>
      <c r="H82" s="18">
        <f t="shared" si="10"/>
        <v>-74.010000000000019</v>
      </c>
      <c r="I82" s="18">
        <f t="shared" si="10"/>
        <v>-66.56</v>
      </c>
      <c r="J82" s="18">
        <f t="shared" si="10"/>
        <v>-12.029999999999998</v>
      </c>
    </row>
    <row r="83" spans="1:10">
      <c r="A83" t="s">
        <v>110</v>
      </c>
      <c r="B83" s="18">
        <f t="shared" si="10"/>
        <v>0</v>
      </c>
      <c r="C83" s="18">
        <f t="shared" si="10"/>
        <v>42.445655771478926</v>
      </c>
      <c r="D83" s="18">
        <f t="shared" si="10"/>
        <v>-2.635649803839776</v>
      </c>
      <c r="E83" s="18">
        <f t="shared" si="10"/>
        <v>-1.0433991884100795</v>
      </c>
      <c r="F83" s="18">
        <f t="shared" si="10"/>
        <v>0.35339322077099178</v>
      </c>
      <c r="G83" s="18">
        <f t="shared" si="10"/>
        <v>-39.120000000000061</v>
      </c>
      <c r="H83" s="18">
        <f t="shared" si="10"/>
        <v>0</v>
      </c>
      <c r="I83" s="18">
        <f t="shared" si="10"/>
        <v>42.445655771478926</v>
      </c>
      <c r="J83" s="18">
        <f t="shared" si="10"/>
        <v>-3.3256557714788642</v>
      </c>
    </row>
    <row r="84" spans="1:10">
      <c r="A84" t="s">
        <v>112</v>
      </c>
      <c r="B84" s="18">
        <f t="shared" si="10"/>
        <v>-1253.1499999999996</v>
      </c>
      <c r="C84" s="18">
        <f t="shared" si="10"/>
        <v>-6369.7643442285225</v>
      </c>
      <c r="D84" s="18">
        <f t="shared" si="10"/>
        <v>-844.00564980383933</v>
      </c>
      <c r="E84" s="18">
        <f t="shared" si="10"/>
        <v>-88.433399188410078</v>
      </c>
      <c r="F84" s="18">
        <f t="shared" si="10"/>
        <v>10.753393220771009</v>
      </c>
      <c r="G84" s="18">
        <f t="shared" si="10"/>
        <v>0</v>
      </c>
      <c r="H84" s="18">
        <f t="shared" si="10"/>
        <v>-8544.5999999999985</v>
      </c>
      <c r="I84" s="18">
        <f t="shared" si="10"/>
        <v>-6369.7643442285225</v>
      </c>
      <c r="J84" s="18">
        <f t="shared" si="10"/>
        <v>-921.6856557714782</v>
      </c>
    </row>
    <row r="85" spans="1:10">
      <c r="A85" t="s">
        <v>113</v>
      </c>
      <c r="B85" s="18">
        <f t="shared" si="10"/>
        <v>-63663.49</v>
      </c>
      <c r="C85" s="18">
        <f t="shared" si="10"/>
        <v>55000.66</v>
      </c>
      <c r="D85" s="18">
        <f t="shared" si="10"/>
        <v>7466.3400000000011</v>
      </c>
      <c r="E85" s="18">
        <f t="shared" si="10"/>
        <v>794.63000000000011</v>
      </c>
      <c r="F85" s="18">
        <f t="shared" si="10"/>
        <v>401.86</v>
      </c>
      <c r="G85" s="18">
        <f t="shared" si="10"/>
        <v>0</v>
      </c>
      <c r="H85" s="18">
        <f t="shared" si="10"/>
        <v>6.6791017161449417E-12</v>
      </c>
      <c r="I85" s="18">
        <f t="shared" si="10"/>
        <v>55000.66</v>
      </c>
      <c r="J85" s="18">
        <f t="shared" si="10"/>
        <v>8662.83</v>
      </c>
    </row>
    <row r="86" spans="1:10">
      <c r="A86" t="s">
        <v>111</v>
      </c>
      <c r="B86" s="18">
        <f t="shared" si="10"/>
        <v>1253.1499999999996</v>
      </c>
      <c r="C86" s="18">
        <f t="shared" si="10"/>
        <v>-1088.2265983181856</v>
      </c>
      <c r="D86" s="18">
        <f t="shared" si="10"/>
        <v>-142.54955372904868</v>
      </c>
      <c r="E86" s="18">
        <f t="shared" si="10"/>
        <v>-14.534043808828329</v>
      </c>
      <c r="F86" s="18">
        <f t="shared" si="10"/>
        <v>-7.8398041439381192</v>
      </c>
      <c r="G86" s="18">
        <f t="shared" si="10"/>
        <v>0</v>
      </c>
      <c r="H86" s="18">
        <f t="shared" si="10"/>
        <v>-1.2256862191861728E-13</v>
      </c>
      <c r="I86" s="18">
        <f t="shared" si="10"/>
        <v>-1088.2265983181856</v>
      </c>
      <c r="J86" s="18">
        <f t="shared" si="10"/>
        <v>-164.92340168181511</v>
      </c>
    </row>
    <row r="87" spans="1:10">
      <c r="A87" s="15" t="s">
        <v>20</v>
      </c>
      <c r="B87" s="18">
        <f t="shared" si="10"/>
        <v>0</v>
      </c>
      <c r="C87" s="18">
        <f t="shared" si="10"/>
        <v>-7457.9909425467085</v>
      </c>
      <c r="D87" s="18">
        <f t="shared" si="10"/>
        <v>-986.55520353288784</v>
      </c>
      <c r="E87" s="18">
        <f t="shared" si="10"/>
        <v>-102.96744299723841</v>
      </c>
      <c r="F87" s="18">
        <f t="shared" si="10"/>
        <v>2.913589076832892</v>
      </c>
      <c r="G87" s="18">
        <f t="shared" si="10"/>
        <v>0</v>
      </c>
      <c r="H87" s="18">
        <f t="shared" si="10"/>
        <v>-8544.5999999999985</v>
      </c>
      <c r="I87" s="18">
        <f t="shared" si="10"/>
        <v>-7457.9909425467085</v>
      </c>
      <c r="J87" s="18">
        <f t="shared" si="10"/>
        <v>-1086.6090574532932</v>
      </c>
    </row>
    <row r="88" spans="1:10">
      <c r="A88" s="15" t="s">
        <v>245</v>
      </c>
      <c r="B88" s="18">
        <f t="shared" si="10"/>
        <v>0</v>
      </c>
      <c r="C88" s="18">
        <f t="shared" si="10"/>
        <v>899.31</v>
      </c>
      <c r="D88" s="18">
        <f t="shared" si="10"/>
        <v>131.5</v>
      </c>
      <c r="E88" s="18">
        <f t="shared" si="10"/>
        <v>20.979999999999997</v>
      </c>
      <c r="F88" s="18">
        <f t="shared" si="10"/>
        <v>-0.90000000000000036</v>
      </c>
      <c r="G88" s="18">
        <f t="shared" si="10"/>
        <v>0</v>
      </c>
      <c r="H88" s="18">
        <f t="shared" si="10"/>
        <v>1050.8899999999999</v>
      </c>
      <c r="I88" s="18">
        <f t="shared" si="10"/>
        <v>899.31</v>
      </c>
      <c r="J88" s="18">
        <f t="shared" si="10"/>
        <v>151.57999999999998</v>
      </c>
    </row>
    <row r="89" spans="1:10">
      <c r="A89" s="15" t="s">
        <v>249</v>
      </c>
      <c r="B89" s="18">
        <f t="shared" si="10"/>
        <v>0</v>
      </c>
      <c r="C89" s="18">
        <f t="shared" si="10"/>
        <v>23.928969852873621</v>
      </c>
      <c r="D89" s="18">
        <f t="shared" si="10"/>
        <v>6.3853306734214428</v>
      </c>
      <c r="E89" s="18">
        <f t="shared" si="10"/>
        <v>0.9169740002362422</v>
      </c>
      <c r="F89" s="18">
        <f t="shared" si="10"/>
        <v>0.26872547346869136</v>
      </c>
      <c r="G89" s="18">
        <f t="shared" si="10"/>
        <v>0</v>
      </c>
      <c r="H89" s="18">
        <f t="shared" si="10"/>
        <v>31.5</v>
      </c>
      <c r="I89" s="18">
        <f t="shared" si="10"/>
        <v>23.928969852873621</v>
      </c>
      <c r="J89" s="18">
        <f t="shared" si="10"/>
        <v>7.5710301471263763</v>
      </c>
    </row>
    <row r="90" spans="1:10">
      <c r="A90" s="15" t="s">
        <v>294</v>
      </c>
      <c r="B90" s="18">
        <f t="shared" si="10"/>
        <v>0</v>
      </c>
      <c r="C90" s="18">
        <f t="shared" si="10"/>
        <v>-433.94</v>
      </c>
      <c r="D90" s="18">
        <f t="shared" si="10"/>
        <v>-88.480000000000018</v>
      </c>
      <c r="E90" s="18">
        <f t="shared" si="10"/>
        <v>-63.830000000000005</v>
      </c>
      <c r="F90" s="18">
        <f t="shared" si="10"/>
        <v>0.7</v>
      </c>
      <c r="G90" s="18">
        <f t="shared" si="10"/>
        <v>0</v>
      </c>
      <c r="H90" s="18">
        <f t="shared" si="10"/>
        <v>-585.54999999999995</v>
      </c>
      <c r="I90" s="18">
        <f t="shared" si="10"/>
        <v>-433.94</v>
      </c>
      <c r="J90" s="18">
        <f t="shared" si="10"/>
        <v>-151.61000000000001</v>
      </c>
    </row>
    <row r="91" spans="1:10">
      <c r="A91" s="34" t="s">
        <v>295</v>
      </c>
      <c r="B91" s="18">
        <f t="shared" si="10"/>
        <v>39.78</v>
      </c>
      <c r="C91" s="18">
        <f t="shared" si="10"/>
        <v>-1671.98</v>
      </c>
      <c r="D91" s="18">
        <f t="shared" si="10"/>
        <v>-48.2</v>
      </c>
      <c r="E91" s="18">
        <f t="shared" si="10"/>
        <v>1.81</v>
      </c>
      <c r="F91" s="18">
        <f t="shared" si="10"/>
        <v>0.5</v>
      </c>
      <c r="G91" s="18">
        <f t="shared" si="10"/>
        <v>-0.36</v>
      </c>
      <c r="H91" s="18">
        <f t="shared" si="10"/>
        <v>-1678.45</v>
      </c>
      <c r="I91" s="18">
        <f t="shared" si="10"/>
        <v>-1671.98</v>
      </c>
      <c r="J91" s="18">
        <f t="shared" si="10"/>
        <v>-45.89</v>
      </c>
    </row>
    <row r="92" spans="1:10">
      <c r="A92" s="15" t="s">
        <v>246</v>
      </c>
      <c r="B92" s="18">
        <f t="shared" ref="B92:J92" si="11">+B35-M35</f>
        <v>0</v>
      </c>
      <c r="C92" s="18">
        <f t="shared" si="11"/>
        <v>-8606.7850560170627</v>
      </c>
      <c r="D92" s="18">
        <f t="shared" si="11"/>
        <v>-980.30547973061562</v>
      </c>
      <c r="E92" s="18">
        <f t="shared" si="11"/>
        <v>-142.49892057813662</v>
      </c>
      <c r="F92" s="18">
        <f t="shared" si="11"/>
        <v>3.7394563258132223</v>
      </c>
      <c r="G92" s="18">
        <f t="shared" si="11"/>
        <v>-0.36</v>
      </c>
      <c r="H92" s="18">
        <f t="shared" si="11"/>
        <v>-9726.2100000000009</v>
      </c>
      <c r="I92" s="18">
        <f t="shared" si="11"/>
        <v>-8606.7850560170627</v>
      </c>
      <c r="J92" s="18">
        <f t="shared" si="11"/>
        <v>-1119.0649439829392</v>
      </c>
    </row>
    <row r="94" spans="1:10" ht="26">
      <c r="A94" s="38" t="s">
        <v>114</v>
      </c>
    </row>
    <row r="95" spans="1:10">
      <c r="A95" s="15" t="s">
        <v>248</v>
      </c>
      <c r="G95" s="18">
        <f t="shared" ref="G95:G105" si="12">+G38-R38</f>
        <v>5.52</v>
      </c>
    </row>
    <row r="96" spans="1:10">
      <c r="A96" s="34" t="s">
        <v>116</v>
      </c>
      <c r="G96" s="18">
        <f t="shared" si="12"/>
        <v>-258.25</v>
      </c>
    </row>
    <row r="97" spans="1:10">
      <c r="A97" s="34" t="s">
        <v>117</v>
      </c>
      <c r="G97" s="18">
        <f t="shared" si="12"/>
        <v>126.13</v>
      </c>
    </row>
    <row r="98" spans="1:10">
      <c r="A98" s="34" t="s">
        <v>374</v>
      </c>
      <c r="G98" s="18">
        <f t="shared" si="12"/>
        <v>0</v>
      </c>
    </row>
    <row r="99" spans="1:10">
      <c r="A99" s="34" t="s">
        <v>24</v>
      </c>
      <c r="G99" s="18">
        <f t="shared" si="12"/>
        <v>0</v>
      </c>
      <c r="H99" s="6">
        <f>SUM(G95:G99)</f>
        <v>-126.6</v>
      </c>
    </row>
    <row r="100" spans="1:10">
      <c r="A100" s="3" t="s">
        <v>120</v>
      </c>
      <c r="H100" s="6"/>
    </row>
    <row r="101" spans="1:10">
      <c r="A101" s="36" t="s">
        <v>123</v>
      </c>
      <c r="G101" s="18">
        <f t="shared" si="12"/>
        <v>-20.41</v>
      </c>
      <c r="H101" s="6"/>
    </row>
    <row r="102" spans="1:10">
      <c r="A102" s="34" t="s">
        <v>124</v>
      </c>
      <c r="G102" s="18">
        <f t="shared" si="12"/>
        <v>22.11</v>
      </c>
      <c r="H102" s="6"/>
    </row>
    <row r="103" spans="1:10">
      <c r="A103" s="34" t="s">
        <v>121</v>
      </c>
      <c r="G103" s="18">
        <f t="shared" si="12"/>
        <v>0</v>
      </c>
      <c r="H103" s="6"/>
    </row>
    <row r="104" spans="1:10">
      <c r="A104" s="34" t="s">
        <v>125</v>
      </c>
      <c r="G104" s="18">
        <f t="shared" si="12"/>
        <v>0</v>
      </c>
      <c r="H104" s="6"/>
    </row>
    <row r="105" spans="1:10">
      <c r="A105" s="34" t="s">
        <v>196</v>
      </c>
      <c r="G105" s="18">
        <f t="shared" si="12"/>
        <v>-3</v>
      </c>
      <c r="H105" s="6">
        <f>SUM(G101:G105)</f>
        <v>-1.3000000000000007</v>
      </c>
      <c r="J105" s="6"/>
    </row>
    <row r="106" spans="1:10" ht="26">
      <c r="A106" s="35" t="s">
        <v>114</v>
      </c>
      <c r="H106" s="4">
        <f>SUM(G95:G105)</f>
        <v>-127.89999999999999</v>
      </c>
    </row>
    <row r="107" spans="1:10" ht="13">
      <c r="A107" s="35"/>
      <c r="H107" s="6"/>
    </row>
    <row r="108" spans="1:10">
      <c r="A108" s="5" t="s">
        <v>118</v>
      </c>
      <c r="H108" s="18">
        <f>+H51-S51</f>
        <v>109.75999999999999</v>
      </c>
      <c r="I108">
        <f>+H108</f>
        <v>109.75999999999999</v>
      </c>
    </row>
    <row r="109" spans="1:10" ht="13">
      <c r="A109" s="35" t="s">
        <v>126</v>
      </c>
      <c r="G109" s="3" t="s">
        <v>130</v>
      </c>
      <c r="H109" s="6">
        <f>+H92+H106+H108</f>
        <v>-9744.35</v>
      </c>
      <c r="I109" s="6">
        <f>+H92+H99+I108-H89-H81-H82</f>
        <v>-9700.51</v>
      </c>
      <c r="J109" s="3" t="s">
        <v>131</v>
      </c>
    </row>
    <row r="110" spans="1:10" ht="13">
      <c r="A110" s="35"/>
      <c r="G110" s="3" t="s">
        <v>130</v>
      </c>
      <c r="J110" s="3" t="s">
        <v>131</v>
      </c>
    </row>
    <row r="111" spans="1:10">
      <c r="H111" s="6">
        <f>+H110-H109</f>
        <v>9744.35</v>
      </c>
      <c r="I111" s="6">
        <f>+I110-I109</f>
        <v>9700.51</v>
      </c>
    </row>
    <row r="118" spans="1:8">
      <c r="A118" t="s">
        <v>377</v>
      </c>
    </row>
    <row r="121" spans="1:8">
      <c r="A121" t="s">
        <v>378</v>
      </c>
      <c r="C121" t="s">
        <v>379</v>
      </c>
      <c r="D121" t="s">
        <v>380</v>
      </c>
      <c r="E121" t="s">
        <v>381</v>
      </c>
      <c r="F121" t="s">
        <v>382</v>
      </c>
      <c r="G121" t="s">
        <v>165</v>
      </c>
    </row>
    <row r="123" spans="1:8">
      <c r="A123" t="s">
        <v>383</v>
      </c>
      <c r="B123">
        <v>-1577.51</v>
      </c>
    </row>
    <row r="124" spans="1:8">
      <c r="A124" t="s">
        <v>384</v>
      </c>
      <c r="B124">
        <v>-29.82</v>
      </c>
      <c r="H124">
        <v>0</v>
      </c>
    </row>
    <row r="125" spans="1:8">
      <c r="A125" t="s">
        <v>385</v>
      </c>
      <c r="B125">
        <v>22.89</v>
      </c>
      <c r="C125">
        <v>20.170000000000002</v>
      </c>
      <c r="D125">
        <v>2.5</v>
      </c>
      <c r="E125">
        <v>0.16</v>
      </c>
      <c r="F125">
        <v>0.06</v>
      </c>
      <c r="G125">
        <v>22.89</v>
      </c>
      <c r="H125">
        <v>0</v>
      </c>
    </row>
    <row r="126" spans="1:8">
      <c r="A126" t="s">
        <v>386</v>
      </c>
      <c r="B126">
        <v>21.2</v>
      </c>
      <c r="C126">
        <v>21.2</v>
      </c>
      <c r="G126">
        <v>21.2</v>
      </c>
      <c r="H126">
        <v>0</v>
      </c>
    </row>
    <row r="127" spans="1:8">
      <c r="A127" t="s">
        <v>387</v>
      </c>
      <c r="B127">
        <v>-23.58</v>
      </c>
      <c r="C127">
        <v>-23.58</v>
      </c>
      <c r="G127">
        <f>+C127</f>
        <v>-23.58</v>
      </c>
    </row>
    <row r="128" spans="1:8">
      <c r="A128" t="s">
        <v>54</v>
      </c>
      <c r="B128">
        <v>-1586.82</v>
      </c>
      <c r="C128">
        <f>SUM(C125:C127)</f>
        <v>17.790000000000006</v>
      </c>
      <c r="D128">
        <f>SUM(D125:D127)</f>
        <v>2.5</v>
      </c>
      <c r="E128">
        <f>SUM(E125:E127)</f>
        <v>0.16</v>
      </c>
      <c r="F128">
        <f>SUM(F125:F127)</f>
        <v>0.06</v>
      </c>
      <c r="G128">
        <f>SUM(G125:G127)</f>
        <v>20.510000000000005</v>
      </c>
      <c r="H128">
        <v>0</v>
      </c>
    </row>
    <row r="131" spans="1:7">
      <c r="A131" t="s">
        <v>388</v>
      </c>
      <c r="B131">
        <v>1586.82</v>
      </c>
    </row>
    <row r="132" spans="1:7">
      <c r="B132">
        <v>1557</v>
      </c>
      <c r="C132">
        <f>+B132+B123</f>
        <v>-20.509999999999991</v>
      </c>
    </row>
    <row r="136" spans="1:7">
      <c r="A136" t="s">
        <v>389</v>
      </c>
    </row>
    <row r="137" spans="1:7">
      <c r="A137" s="231" t="s">
        <v>93</v>
      </c>
      <c r="B137" s="231" t="s">
        <v>197</v>
      </c>
      <c r="C137" s="231" t="s">
        <v>390</v>
      </c>
      <c r="D137" s="231" t="s">
        <v>132</v>
      </c>
      <c r="E137" s="231" t="s">
        <v>391</v>
      </c>
      <c r="F137" s="231" t="s">
        <v>392</v>
      </c>
      <c r="G137" s="232" t="s">
        <v>393</v>
      </c>
    </row>
    <row r="138" spans="1:7">
      <c r="A138" s="130">
        <v>42.411796600692391</v>
      </c>
      <c r="B138" s="130"/>
      <c r="C138" s="130"/>
      <c r="D138" s="130"/>
      <c r="E138" s="130"/>
      <c r="F138" s="130"/>
      <c r="G138" s="6"/>
    </row>
    <row r="139" spans="1:7">
      <c r="A139" s="130">
        <v>-3.1811229348527043E-4</v>
      </c>
      <c r="B139" s="130"/>
      <c r="C139" s="130"/>
      <c r="D139" s="130"/>
      <c r="E139" s="130"/>
      <c r="F139" s="130"/>
      <c r="G139" s="6"/>
    </row>
    <row r="140" spans="1:7">
      <c r="A140" s="130">
        <v>0.18802461279673213</v>
      </c>
      <c r="B140" s="130"/>
      <c r="C140" s="130"/>
      <c r="D140" s="130"/>
      <c r="E140" s="130"/>
      <c r="F140" s="130"/>
      <c r="G140" s="6"/>
    </row>
    <row r="141" spans="1:7">
      <c r="A141" s="130">
        <v>0.37288895507670816</v>
      </c>
      <c r="B141" s="130">
        <v>4.6299003161266457E-2</v>
      </c>
      <c r="C141" s="130">
        <v>2.8778173811390482E-3</v>
      </c>
      <c r="D141" s="130">
        <v>1.1849836275278434E-3</v>
      </c>
      <c r="E141" s="130"/>
      <c r="F141" s="130"/>
      <c r="G141" s="6"/>
    </row>
    <row r="142" spans="1:7">
      <c r="A142" s="130">
        <v>1.880624788909818</v>
      </c>
      <c r="B142" s="130">
        <v>0.23350397447138133</v>
      </c>
      <c r="C142" s="130">
        <v>1.4513958193833573E-2</v>
      </c>
      <c r="D142" s="130">
        <v>5.9763357268726482E-3</v>
      </c>
      <c r="E142" s="130"/>
      <c r="F142" s="130"/>
      <c r="G142" s="6"/>
    </row>
    <row r="143" spans="1:7">
      <c r="A143" s="130">
        <v>1.3240907943337932</v>
      </c>
      <c r="B143" s="130">
        <v>0.16440305629340252</v>
      </c>
      <c r="C143" s="130">
        <v>1.0218837137067067E-2</v>
      </c>
      <c r="D143" s="130">
        <v>4.2077564682040866E-3</v>
      </c>
      <c r="E143" s="130"/>
      <c r="F143" s="130"/>
      <c r="G143" s="6"/>
    </row>
    <row r="144" spans="1:7">
      <c r="A144" s="130">
        <v>1.3174854020607791</v>
      </c>
      <c r="B144" s="130">
        <v>0.1635829111172957</v>
      </c>
      <c r="C144" s="130">
        <v>1.0167859191934284E-2</v>
      </c>
      <c r="D144" s="130">
        <v>4.1867655496199991E-3</v>
      </c>
      <c r="E144" s="130"/>
      <c r="F144" s="130"/>
      <c r="G144" s="6"/>
    </row>
    <row r="145" spans="1:7">
      <c r="A145" s="130">
        <v>0.44974472452750325</v>
      </c>
      <c r="B145" s="130">
        <v>5.5841644380103111E-2</v>
      </c>
      <c r="C145" s="130">
        <v>3.4709614422733194E-3</v>
      </c>
      <c r="D145" s="130">
        <v>1.4292194174066611E-3</v>
      </c>
      <c r="E145" s="130"/>
      <c r="F145" s="130"/>
      <c r="G145" s="6"/>
    </row>
    <row r="146" spans="1:7">
      <c r="A146" s="130">
        <v>0.14343056648880353</v>
      </c>
      <c r="B146" s="130">
        <v>1.7808766285183415E-2</v>
      </c>
      <c r="C146" s="130">
        <v>1.1069434254044536E-3</v>
      </c>
      <c r="D146" s="130">
        <v>4.5580023399006915E-4</v>
      </c>
      <c r="E146" s="130"/>
      <c r="F146" s="130"/>
      <c r="G146" s="6"/>
    </row>
    <row r="147" spans="1:7">
      <c r="A147" s="130">
        <v>1.8647020420777327</v>
      </c>
      <c r="B147" s="130">
        <v>0.23152695880524793</v>
      </c>
      <c r="C147" s="130">
        <v>1.4391072393744844E-2</v>
      </c>
      <c r="D147" s="130">
        <v>5.9257356915419944E-3</v>
      </c>
      <c r="E147" s="130"/>
      <c r="F147" s="130"/>
      <c r="G147" s="6"/>
    </row>
    <row r="148" spans="1:7">
      <c r="A148" s="130">
        <v>0.29531206719649195</v>
      </c>
      <c r="B148" s="130">
        <v>3.6666825730673272E-2</v>
      </c>
      <c r="C148" s="130">
        <v>2.2791079978846272E-3</v>
      </c>
      <c r="D148" s="130">
        <v>9.3845623442308191E-4</v>
      </c>
      <c r="E148" s="130"/>
      <c r="F148" s="130"/>
      <c r="G148" s="6"/>
    </row>
    <row r="149" spans="1:7">
      <c r="A149" s="130">
        <v>4.5850396389592643</v>
      </c>
      <c r="B149" s="130">
        <v>0.56929217625938433</v>
      </c>
      <c r="C149" s="130">
        <v>3.5385619730930649E-2</v>
      </c>
      <c r="D149" s="130">
        <v>1.4570549300971444E-2</v>
      </c>
      <c r="E149" s="130"/>
      <c r="F149" s="130"/>
      <c r="G149" s="6"/>
    </row>
    <row r="150" spans="1:7">
      <c r="A150" s="130"/>
      <c r="B150" s="130"/>
      <c r="C150" s="130"/>
      <c r="D150" s="130"/>
      <c r="E150" s="130"/>
      <c r="F150" s="130"/>
      <c r="G150" s="6"/>
    </row>
    <row r="151" spans="1:7">
      <c r="A151" s="130">
        <v>23.979208978827785</v>
      </c>
      <c r="B151" s="130">
        <v>2.9773299991871069</v>
      </c>
      <c r="C151" s="130">
        <v>0.18506255936446367</v>
      </c>
      <c r="D151" s="130">
        <v>7.6202230326543871E-2</v>
      </c>
      <c r="E151" s="130"/>
      <c r="F151" s="130"/>
      <c r="G151" s="6"/>
    </row>
    <row r="152" spans="1:7">
      <c r="A152" s="130"/>
      <c r="B152" s="130"/>
      <c r="C152" s="130"/>
      <c r="D152" s="130"/>
      <c r="E152" s="130">
        <v>0.44932769659153005</v>
      </c>
      <c r="F152" s="130"/>
      <c r="G152" s="6"/>
    </row>
    <row r="153" spans="1:7">
      <c r="A153" s="130"/>
      <c r="B153" s="130"/>
      <c r="C153" s="130"/>
      <c r="D153" s="130"/>
      <c r="E153" s="130"/>
      <c r="F153" s="130">
        <v>0.95882449368531519</v>
      </c>
      <c r="G153" s="6"/>
    </row>
    <row r="154" spans="1:7" ht="13" thickBot="1">
      <c r="A154" s="233">
        <v>78.812031059654316</v>
      </c>
      <c r="B154" s="233">
        <v>4.4962553156910445</v>
      </c>
      <c r="C154" s="233">
        <v>0.27947473625867553</v>
      </c>
      <c r="D154" s="233">
        <v>0.1150778325771017</v>
      </c>
      <c r="E154" s="233">
        <v>0.44932769659153005</v>
      </c>
      <c r="F154" s="233">
        <v>0.95882449368531519</v>
      </c>
      <c r="G154" s="234">
        <v>3.17</v>
      </c>
    </row>
    <row r="155" spans="1:7" ht="13" thickTop="1"/>
  </sheetData>
  <sheetProtection password="B178" sheet="1" objects="1" scenarios="1"/>
  <phoneticPr fontId="20" type="noConversion"/>
  <printOptions horizontalCentered="1" verticalCentered="1"/>
  <pageMargins left="0.17" right="0.17" top="0.17" bottom="0.17" header="0.2" footer="0.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G19" sqref="G19"/>
    </sheetView>
  </sheetViews>
  <sheetFormatPr baseColWidth="10" defaultColWidth="8.83203125" defaultRowHeight="13" x14ac:dyDescent="0"/>
  <cols>
    <col min="1" max="1" width="8.83203125" style="198"/>
    <col min="2" max="2" width="38" style="198" customWidth="1"/>
    <col min="3" max="3" width="16.5" style="198" customWidth="1"/>
    <col min="4" max="4" width="17.83203125" style="198" customWidth="1"/>
    <col min="5" max="5" width="11" style="198" bestFit="1" customWidth="1"/>
    <col min="6" max="6" width="8.83203125" style="198"/>
    <col min="7" max="7" width="16.1640625" style="198" bestFit="1" customWidth="1"/>
    <col min="8" max="16384" width="8.83203125" style="198"/>
  </cols>
  <sheetData>
    <row r="1" spans="1:5" ht="13" customHeight="1"/>
    <row r="2" spans="1:5" ht="13" customHeight="1">
      <c r="A2" s="199">
        <v>1</v>
      </c>
      <c r="B2" s="200"/>
      <c r="C2" s="199"/>
      <c r="D2" s="199"/>
    </row>
    <row r="3" spans="1:5" ht="13" customHeight="1">
      <c r="B3" s="201"/>
      <c r="C3" s="320"/>
      <c r="D3" s="321"/>
      <c r="E3" s="202"/>
    </row>
    <row r="4" spans="1:5" ht="13" customHeight="1" thickBot="1">
      <c r="B4" s="203" t="s">
        <v>336</v>
      </c>
      <c r="C4" s="204" t="s">
        <v>368</v>
      </c>
      <c r="D4" s="204" t="s">
        <v>367</v>
      </c>
      <c r="E4" s="205" t="s">
        <v>338</v>
      </c>
    </row>
    <row r="5" spans="1:5" ht="13" customHeight="1" thickTop="1">
      <c r="B5" s="197"/>
      <c r="C5" s="206"/>
      <c r="D5" s="206"/>
      <c r="E5" s="207"/>
    </row>
    <row r="6" spans="1:5" ht="13" customHeight="1">
      <c r="B6" s="208" t="s">
        <v>339</v>
      </c>
      <c r="C6" s="219">
        <v>54.279000000000003</v>
      </c>
      <c r="D6" s="219">
        <v>51.427</v>
      </c>
      <c r="E6" s="209">
        <f>(+C6-D6)/D6</f>
        <v>5.545725008264149E-2</v>
      </c>
    </row>
    <row r="7" spans="1:5" ht="13" customHeight="1">
      <c r="B7" s="208"/>
      <c r="C7" s="210"/>
      <c r="D7" s="210"/>
      <c r="E7" s="209"/>
    </row>
    <row r="8" spans="1:5" ht="13" customHeight="1">
      <c r="B8" s="208" t="s">
        <v>340</v>
      </c>
      <c r="C8" s="208">
        <f>+'QTR Sep 16'!C14</f>
        <v>875.40000000000009</v>
      </c>
      <c r="D8" s="208">
        <v>517.86</v>
      </c>
      <c r="E8" s="209">
        <f>(+C8-D8)/D8</f>
        <v>0.69041825976132554</v>
      </c>
    </row>
    <row r="9" spans="1:5" ht="13" customHeight="1">
      <c r="B9" s="208" t="s">
        <v>341</v>
      </c>
      <c r="C9" s="208">
        <f>-'QTR Sep 16'!C15</f>
        <v>-116.5</v>
      </c>
      <c r="D9" s="208">
        <v>-75.75</v>
      </c>
      <c r="E9" s="212"/>
    </row>
    <row r="10" spans="1:5" ht="13" customHeight="1">
      <c r="B10" s="208" t="s">
        <v>39</v>
      </c>
      <c r="C10" s="213">
        <f>+C8+C9</f>
        <v>758.90000000000009</v>
      </c>
      <c r="D10" s="213">
        <f>+D8+D9</f>
        <v>442.11</v>
      </c>
      <c r="E10" s="212">
        <f>(+C10-D10)/D10</f>
        <v>0.71654113229739225</v>
      </c>
    </row>
    <row r="11" spans="1:5" ht="13" customHeight="1">
      <c r="B11" s="208"/>
      <c r="C11" s="208"/>
      <c r="D11" s="208"/>
      <c r="E11" s="209"/>
    </row>
    <row r="12" spans="1:5" ht="13" customHeight="1">
      <c r="B12" s="208" t="s">
        <v>342</v>
      </c>
      <c r="C12" s="208">
        <f>-'QTR Sep 16'!C23-'QTR Sep 16'!C21-'QTR Sep 16'!C22</f>
        <v>-358.20000000000005</v>
      </c>
      <c r="D12" s="208">
        <v>-278.61</v>
      </c>
      <c r="E12" s="209">
        <f>(+C12-D12)/D12</f>
        <v>0.28566813825777981</v>
      </c>
    </row>
    <row r="13" spans="1:5" ht="13" customHeight="1">
      <c r="B13" s="208"/>
      <c r="C13" s="208"/>
      <c r="D13" s="208"/>
      <c r="E13" s="209"/>
    </row>
    <row r="14" spans="1:5" ht="13" customHeight="1">
      <c r="B14" s="208" t="s">
        <v>173</v>
      </c>
      <c r="C14" s="213">
        <f>+C10+C12</f>
        <v>400.70000000000005</v>
      </c>
      <c r="D14" s="213">
        <f>+D10+D12</f>
        <v>163.5</v>
      </c>
      <c r="E14" s="214">
        <f>(+C14-D14)/D14</f>
        <v>1.4507645259938842</v>
      </c>
    </row>
    <row r="15" spans="1:5" ht="13" customHeight="1">
      <c r="B15" s="208"/>
      <c r="C15" s="208"/>
      <c r="D15" s="208"/>
      <c r="E15" s="209"/>
    </row>
    <row r="16" spans="1:5" ht="13" customHeight="1">
      <c r="B16" s="208" t="s">
        <v>343</v>
      </c>
      <c r="C16" s="208" t="e">
        <f>-'QTR Sep 16'!#REF!</f>
        <v>#REF!</v>
      </c>
      <c r="D16" s="208">
        <v>-16.66</v>
      </c>
      <c r="E16" s="209" t="e">
        <f>(+C16-D16)/D16</f>
        <v>#REF!</v>
      </c>
    </row>
    <row r="17" spans="1:5" ht="13" customHeight="1">
      <c r="B17" s="208" t="s">
        <v>344</v>
      </c>
      <c r="C17" s="208" t="e">
        <f>-#REF!</f>
        <v>#REF!</v>
      </c>
      <c r="D17" s="219">
        <v>-9.76</v>
      </c>
      <c r="E17" s="209" t="e">
        <f>(+C17-D17)/D17</f>
        <v>#REF!</v>
      </c>
    </row>
    <row r="18" spans="1:5" ht="13" customHeight="1">
      <c r="B18" s="208" t="s">
        <v>345</v>
      </c>
      <c r="C18" s="208" t="e">
        <f>-'QTR Sep 16'!C24-'QTR Sep 16'!C28-'QTR Sep 16'!C29-Slides!C17</f>
        <v>#REF!</v>
      </c>
      <c r="D18" s="208">
        <v>-73</v>
      </c>
      <c r="E18" s="209" t="e">
        <f>(+C18-D18)/D18</f>
        <v>#REF!</v>
      </c>
    </row>
    <row r="19" spans="1:5" ht="13" customHeight="1">
      <c r="B19" s="208"/>
      <c r="C19" s="210"/>
      <c r="D19" s="210"/>
      <c r="E19" s="209"/>
    </row>
    <row r="20" spans="1:5" ht="13" customHeight="1">
      <c r="B20" s="208" t="s">
        <v>9</v>
      </c>
      <c r="C20" s="208">
        <f>-'QTR Sep 16'!C34</f>
        <v>-9.9999999999999867E-2</v>
      </c>
      <c r="D20" s="208">
        <v>-0.85</v>
      </c>
      <c r="E20" s="209"/>
    </row>
    <row r="21" spans="1:5" ht="13" customHeight="1">
      <c r="B21" s="208"/>
      <c r="C21" s="210"/>
      <c r="D21" s="210"/>
      <c r="E21" s="209"/>
    </row>
    <row r="22" spans="1:5" ht="13" customHeight="1">
      <c r="B22" s="208" t="s">
        <v>10</v>
      </c>
      <c r="C22" s="208">
        <f>-'QTR Sep 16'!C25</f>
        <v>-10.700000000000003</v>
      </c>
      <c r="D22" s="208">
        <v>-4.78</v>
      </c>
      <c r="E22" s="209"/>
    </row>
    <row r="23" spans="1:5" ht="13" customHeight="1">
      <c r="B23" s="208"/>
      <c r="C23" s="208"/>
      <c r="D23" s="208"/>
      <c r="E23" s="209"/>
    </row>
    <row r="24" spans="1:5" ht="13" customHeight="1">
      <c r="B24" s="208" t="s">
        <v>0</v>
      </c>
      <c r="C24" s="208">
        <f>+'QTR Sep 16'!C18</f>
        <v>2.8000000000000007</v>
      </c>
      <c r="D24" s="208">
        <v>7.29</v>
      </c>
      <c r="E24" s="209">
        <f>(+C24-D24)/D24</f>
        <v>-0.615912208504801</v>
      </c>
    </row>
    <row r="25" spans="1:5" ht="13" customHeight="1">
      <c r="B25" s="208"/>
      <c r="C25" s="208"/>
      <c r="D25" s="208"/>
      <c r="E25" s="209"/>
    </row>
    <row r="26" spans="1:5" ht="13" customHeight="1">
      <c r="B26" s="208" t="s">
        <v>346</v>
      </c>
      <c r="C26" s="208" t="e">
        <f>+C14+C16+C17+C18+C20+C22+C24</f>
        <v>#REF!</v>
      </c>
      <c r="D26" s="208">
        <f>+D14+D16+D17+D18+D20+D22+D24</f>
        <v>65.740000000000009</v>
      </c>
      <c r="E26" s="209" t="e">
        <f>(+C26-D26)/D26</f>
        <v>#REF!</v>
      </c>
    </row>
    <row r="27" spans="1:5" ht="13" customHeight="1">
      <c r="B27" s="208"/>
      <c r="C27" s="208"/>
      <c r="D27" s="208"/>
      <c r="E27" s="209"/>
    </row>
    <row r="28" spans="1:5" ht="13" customHeight="1">
      <c r="B28" s="211" t="s">
        <v>347</v>
      </c>
      <c r="C28" s="215">
        <f>+'QTR Sep 16'!C41</f>
        <v>139.80000000000007</v>
      </c>
      <c r="D28" s="229">
        <v>41.52</v>
      </c>
      <c r="E28" s="212">
        <f>(+C28-D28)/D28</f>
        <v>2.3670520231213885</v>
      </c>
    </row>
    <row r="29" spans="1:5" ht="13" customHeight="1"/>
    <row r="30" spans="1:5">
      <c r="A30" s="199">
        <v>2</v>
      </c>
      <c r="B30" s="200"/>
      <c r="C30" s="199"/>
      <c r="D30" s="199"/>
    </row>
    <row r="31" spans="1:5">
      <c r="B31" s="201"/>
      <c r="C31" s="320"/>
      <c r="D31" s="321"/>
      <c r="E31" s="202"/>
    </row>
    <row r="32" spans="1:5" ht="14" thickBot="1">
      <c r="B32" s="203" t="s">
        <v>336</v>
      </c>
      <c r="C32" s="204" t="s">
        <v>368</v>
      </c>
      <c r="D32" s="204" t="s">
        <v>337</v>
      </c>
      <c r="E32" s="205" t="s">
        <v>338</v>
      </c>
    </row>
    <row r="33" spans="2:5" ht="14" thickTop="1">
      <c r="B33" s="197"/>
      <c r="C33" s="206"/>
      <c r="D33" s="206"/>
      <c r="E33" s="207"/>
    </row>
    <row r="34" spans="2:5">
      <c r="B34" s="208" t="s">
        <v>339</v>
      </c>
      <c r="C34" s="230">
        <f>+C6</f>
        <v>54.279000000000003</v>
      </c>
      <c r="D34" s="208">
        <v>55.52</v>
      </c>
      <c r="E34" s="209">
        <f>(+C34-D34)/D34</f>
        <v>-2.2352305475504316E-2</v>
      </c>
    </row>
    <row r="35" spans="2:5">
      <c r="B35" s="208"/>
      <c r="C35" s="210"/>
      <c r="D35" s="210"/>
      <c r="E35" s="209"/>
    </row>
    <row r="36" spans="2:5">
      <c r="B36" s="208" t="s">
        <v>340</v>
      </c>
      <c r="C36" s="208">
        <f>+'QTR Sep 16'!C14</f>
        <v>875.40000000000009</v>
      </c>
      <c r="D36" s="208">
        <v>557.91999999999996</v>
      </c>
      <c r="E36" s="209">
        <f>(+C36-D36)/D36</f>
        <v>0.56904215658158908</v>
      </c>
    </row>
    <row r="37" spans="2:5">
      <c r="B37" s="208" t="s">
        <v>341</v>
      </c>
      <c r="C37" s="208">
        <f>-'QTR Sep 16'!C15</f>
        <v>-116.5</v>
      </c>
      <c r="D37" s="208">
        <v>-82.93</v>
      </c>
      <c r="E37" s="212"/>
    </row>
    <row r="38" spans="2:5">
      <c r="B38" s="208" t="s">
        <v>39</v>
      </c>
      <c r="C38" s="213">
        <f>+C36+C37</f>
        <v>758.90000000000009</v>
      </c>
      <c r="D38" s="213">
        <v>474.99</v>
      </c>
      <c r="E38" s="212">
        <f>(+C38-D38)/D38</f>
        <v>0.5977178466915094</v>
      </c>
    </row>
    <row r="39" spans="2:5">
      <c r="B39" s="208"/>
      <c r="C39" s="208"/>
      <c r="D39" s="208"/>
      <c r="E39" s="209"/>
    </row>
    <row r="40" spans="2:5">
      <c r="B40" s="208" t="s">
        <v>342</v>
      </c>
      <c r="C40" s="208">
        <f>-'QTR Sep 16'!C23-'QTR Sep 16'!C21-'QTR Sep 16'!C22</f>
        <v>-358.20000000000005</v>
      </c>
      <c r="D40" s="208">
        <v>-266.83</v>
      </c>
      <c r="E40" s="209">
        <f>(+C40-D40)/D40</f>
        <v>0.3424277629951657</v>
      </c>
    </row>
    <row r="41" spans="2:5">
      <c r="B41" s="208"/>
      <c r="C41" s="208"/>
      <c r="D41" s="208"/>
      <c r="E41" s="209"/>
    </row>
    <row r="42" spans="2:5">
      <c r="B42" s="208" t="s">
        <v>173</v>
      </c>
      <c r="C42" s="213">
        <f>+C38+C40</f>
        <v>400.70000000000005</v>
      </c>
      <c r="D42" s="213">
        <v>208.16</v>
      </c>
      <c r="E42" s="214">
        <f>(+C42-D42)/D42</f>
        <v>0.92496156802459673</v>
      </c>
    </row>
    <row r="43" spans="2:5">
      <c r="B43" s="208"/>
      <c r="C43" s="208"/>
      <c r="D43" s="208"/>
      <c r="E43" s="209"/>
    </row>
    <row r="44" spans="2:5">
      <c r="B44" s="208" t="s">
        <v>343</v>
      </c>
      <c r="C44" s="208">
        <f>-'QTR Sep 16'!C27</f>
        <v>-55.200000000000017</v>
      </c>
      <c r="D44" s="208">
        <v>-27.76</v>
      </c>
      <c r="E44" s="209">
        <f>(+C44-D44)/D44</f>
        <v>0.98847262247838663</v>
      </c>
    </row>
    <row r="45" spans="2:5">
      <c r="B45" s="208" t="s">
        <v>344</v>
      </c>
      <c r="C45" s="230" t="e">
        <f>+C17</f>
        <v>#REF!</v>
      </c>
      <c r="D45" s="208">
        <v>-11.16</v>
      </c>
      <c r="E45" s="209" t="e">
        <f>(+C45-D45)/D45</f>
        <v>#REF!</v>
      </c>
    </row>
    <row r="46" spans="2:5">
      <c r="B46" s="208" t="s">
        <v>345</v>
      </c>
      <c r="C46" s="208" t="e">
        <f>-'QTR Sep 16'!C24-'QTR Sep 16'!C28-'QTR Sep 16'!C29-Slides!C45</f>
        <v>#REF!</v>
      </c>
      <c r="D46" s="208">
        <v>-87.33</v>
      </c>
      <c r="E46" s="209" t="e">
        <f>(+C46-D46)/D46</f>
        <v>#REF!</v>
      </c>
    </row>
    <row r="47" spans="2:5">
      <c r="B47" s="208"/>
      <c r="C47" s="210"/>
      <c r="D47" s="210"/>
      <c r="E47" s="209"/>
    </row>
    <row r="48" spans="2:5">
      <c r="B48" s="208" t="s">
        <v>9</v>
      </c>
      <c r="C48" s="208">
        <f>-'QTR Sep 16'!C34</f>
        <v>-9.9999999999999867E-2</v>
      </c>
      <c r="D48" s="208">
        <v>-0.13</v>
      </c>
      <c r="E48" s="209"/>
    </row>
    <row r="49" spans="1:5">
      <c r="B49" s="208"/>
      <c r="C49" s="210"/>
      <c r="D49" s="210"/>
      <c r="E49" s="209"/>
    </row>
    <row r="50" spans="1:5">
      <c r="B50" s="208" t="s">
        <v>10</v>
      </c>
      <c r="C50" s="208">
        <f>-'QTR Sep 16'!C25</f>
        <v>-10.700000000000003</v>
      </c>
      <c r="D50" s="208">
        <v>-5.89</v>
      </c>
      <c r="E50" s="209"/>
    </row>
    <row r="51" spans="1:5">
      <c r="B51" s="208"/>
      <c r="C51" s="208"/>
      <c r="D51" s="208"/>
      <c r="E51" s="209"/>
    </row>
    <row r="52" spans="1:5">
      <c r="B52" s="208" t="s">
        <v>0</v>
      </c>
      <c r="C52" s="208">
        <f>+'QTR Sep 16'!C18</f>
        <v>2.8000000000000007</v>
      </c>
      <c r="D52" s="208">
        <v>11.1</v>
      </c>
      <c r="E52" s="209">
        <f>(+C52-D52)/D52</f>
        <v>-0.74774774774774766</v>
      </c>
    </row>
    <row r="53" spans="1:5">
      <c r="B53" s="208"/>
      <c r="C53" s="208"/>
      <c r="D53" s="208"/>
      <c r="E53" s="209"/>
    </row>
    <row r="54" spans="1:5">
      <c r="B54" s="208" t="s">
        <v>348</v>
      </c>
      <c r="C54" s="208" t="e">
        <f>+C38+C40+C44+C45+C46+C48+C50+C52</f>
        <v>#REF!</v>
      </c>
      <c r="D54" s="208">
        <v>86.989999999999952</v>
      </c>
      <c r="E54" s="209" t="e">
        <f>(+C54-D54)/D54</f>
        <v>#REF!</v>
      </c>
    </row>
    <row r="55" spans="1:5">
      <c r="B55" s="208"/>
      <c r="C55" s="208"/>
      <c r="D55" s="208"/>
      <c r="E55" s="209"/>
    </row>
    <row r="56" spans="1:5">
      <c r="B56" s="211" t="s">
        <v>347</v>
      </c>
      <c r="C56" s="211">
        <f>+'QTR Sep 16'!C41</f>
        <v>139.80000000000007</v>
      </c>
      <c r="D56" s="211">
        <v>56.76</v>
      </c>
      <c r="E56" s="212">
        <f>(+C56-D56)/D56</f>
        <v>1.4630021141649063</v>
      </c>
    </row>
    <row r="57" spans="1:5">
      <c r="B57" s="216"/>
      <c r="C57" s="216"/>
      <c r="D57" s="216"/>
      <c r="E57" s="217"/>
    </row>
    <row r="58" spans="1:5">
      <c r="B58" s="216"/>
      <c r="C58" s="218"/>
      <c r="D58" s="218"/>
      <c r="E58" s="217"/>
    </row>
    <row r="59" spans="1:5" ht="14" thickBot="1">
      <c r="A59" s="198">
        <v>3</v>
      </c>
      <c r="B59" s="220" t="s">
        <v>336</v>
      </c>
      <c r="C59" s="221" t="s">
        <v>364</v>
      </c>
      <c r="D59" s="221" t="s">
        <v>349</v>
      </c>
      <c r="E59" s="217"/>
    </row>
    <row r="60" spans="1:5" ht="14" thickTop="1">
      <c r="B60" s="222"/>
      <c r="C60" s="222"/>
      <c r="D60" s="222"/>
    </row>
    <row r="61" spans="1:5">
      <c r="B61" s="223" t="s">
        <v>350</v>
      </c>
      <c r="C61" s="222"/>
      <c r="D61" s="222"/>
    </row>
    <row r="62" spans="1:5">
      <c r="B62" s="222" t="s">
        <v>351</v>
      </c>
      <c r="C62" s="222"/>
      <c r="D62" s="222"/>
    </row>
    <row r="63" spans="1:5">
      <c r="B63" s="222" t="s">
        <v>352</v>
      </c>
      <c r="C63" s="224">
        <v>123.64</v>
      </c>
      <c r="D63" s="224">
        <v>123.64</v>
      </c>
    </row>
    <row r="64" spans="1:5">
      <c r="B64" s="222" t="s">
        <v>325</v>
      </c>
      <c r="C64" s="224">
        <v>422.66</v>
      </c>
      <c r="D64" s="224">
        <v>306.54000000000002</v>
      </c>
    </row>
    <row r="65" spans="2:4">
      <c r="B65" s="222" t="s">
        <v>353</v>
      </c>
      <c r="C65" s="224">
        <v>2.79</v>
      </c>
      <c r="D65" s="224">
        <v>2.79</v>
      </c>
    </row>
    <row r="66" spans="2:4">
      <c r="B66" s="222" t="s">
        <v>365</v>
      </c>
      <c r="C66" s="224">
        <v>0</v>
      </c>
      <c r="D66" s="224">
        <v>0</v>
      </c>
    </row>
    <row r="67" spans="2:4">
      <c r="B67" s="222"/>
      <c r="C67" s="224"/>
      <c r="D67" s="224"/>
    </row>
    <row r="68" spans="2:4">
      <c r="B68" s="222" t="s">
        <v>91</v>
      </c>
      <c r="C68" s="224">
        <v>549.09</v>
      </c>
      <c r="D68" s="224">
        <v>432.97</v>
      </c>
    </row>
    <row r="69" spans="2:4">
      <c r="B69" s="222"/>
      <c r="C69" s="224"/>
      <c r="D69" s="224"/>
    </row>
    <row r="70" spans="2:4">
      <c r="B70" s="223" t="s">
        <v>354</v>
      </c>
      <c r="C70" s="224"/>
      <c r="D70" s="224"/>
    </row>
    <row r="71" spans="2:4">
      <c r="B71" s="222" t="s">
        <v>198</v>
      </c>
      <c r="C71" s="224">
        <v>134.05000000000001</v>
      </c>
      <c r="D71" s="224">
        <v>133.26</v>
      </c>
    </row>
    <row r="72" spans="2:4">
      <c r="B72" s="222" t="s">
        <v>355</v>
      </c>
      <c r="C72" s="224">
        <v>0.82</v>
      </c>
      <c r="D72" s="224">
        <v>20.58</v>
      </c>
    </row>
    <row r="73" spans="2:4">
      <c r="B73" s="222" t="s">
        <v>366</v>
      </c>
      <c r="C73" s="227">
        <v>18.22</v>
      </c>
      <c r="D73" s="228">
        <v>18.22</v>
      </c>
    </row>
    <row r="74" spans="2:4">
      <c r="B74" s="225" t="s">
        <v>356</v>
      </c>
      <c r="C74" s="224"/>
      <c r="D74" s="224"/>
    </row>
    <row r="75" spans="2:4">
      <c r="B75" s="222" t="s">
        <v>357</v>
      </c>
      <c r="C75" s="224">
        <v>286.17</v>
      </c>
      <c r="D75" s="224">
        <v>224.98</v>
      </c>
    </row>
    <row r="76" spans="2:4">
      <c r="B76" s="222" t="s">
        <v>358</v>
      </c>
      <c r="C76" s="224">
        <v>154.72</v>
      </c>
      <c r="D76" s="224">
        <v>147.94999999999999</v>
      </c>
    </row>
    <row r="77" spans="2:4">
      <c r="B77" s="222" t="s">
        <v>359</v>
      </c>
      <c r="C77" s="224">
        <v>307.62</v>
      </c>
      <c r="D77" s="224">
        <v>317.91000000000003</v>
      </c>
    </row>
    <row r="78" spans="2:4">
      <c r="B78" s="222" t="s">
        <v>360</v>
      </c>
      <c r="C78" s="224">
        <v>2.69</v>
      </c>
      <c r="D78" s="224">
        <v>1.86</v>
      </c>
    </row>
    <row r="79" spans="2:4">
      <c r="B79" s="222" t="s">
        <v>361</v>
      </c>
      <c r="C79" s="224">
        <v>130.27000000000001</v>
      </c>
      <c r="D79" s="224">
        <v>79.819999999999993</v>
      </c>
    </row>
    <row r="80" spans="2:4">
      <c r="B80" s="222" t="s">
        <v>362</v>
      </c>
      <c r="C80" s="224"/>
      <c r="D80" s="224"/>
    </row>
    <row r="81" spans="2:4">
      <c r="B81" s="225" t="s">
        <v>363</v>
      </c>
      <c r="C81" s="224">
        <v>-485.46</v>
      </c>
      <c r="D81" s="224">
        <v>-511.61</v>
      </c>
    </row>
    <row r="82" spans="2:4">
      <c r="B82" s="222"/>
      <c r="C82" s="224"/>
      <c r="D82" s="224"/>
    </row>
    <row r="83" spans="2:4">
      <c r="B83" s="222"/>
      <c r="C83" s="224"/>
      <c r="D83" s="224"/>
    </row>
    <row r="84" spans="2:4">
      <c r="B84" s="222" t="s">
        <v>91</v>
      </c>
      <c r="C84" s="224">
        <v>549.1</v>
      </c>
      <c r="D84" s="224">
        <v>432.97</v>
      </c>
    </row>
    <row r="85" spans="2:4">
      <c r="B85" s="226"/>
      <c r="C85" s="226"/>
      <c r="D85" s="226"/>
    </row>
  </sheetData>
  <sheetProtection password="B178" sheet="1" objects="1" scenarios="1"/>
  <mergeCells count="2">
    <mergeCell ref="C3:D3"/>
    <mergeCell ref="C31:D31"/>
  </mergeCells>
  <phoneticPr fontId="2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9"/>
  <sheetViews>
    <sheetView workbookViewId="0">
      <selection activeCell="C14" sqref="C14:E14"/>
    </sheetView>
  </sheetViews>
  <sheetFormatPr baseColWidth="10" defaultColWidth="8.83203125" defaultRowHeight="12" x14ac:dyDescent="0"/>
  <cols>
    <col min="1" max="1" width="12.1640625" bestFit="1" customWidth="1"/>
    <col min="2" max="2" width="10.5" bestFit="1" customWidth="1"/>
    <col min="3" max="7" width="9.1640625" style="6" customWidth="1"/>
  </cols>
  <sheetData>
    <row r="1" spans="1:7">
      <c r="C1" s="6" t="s">
        <v>232</v>
      </c>
      <c r="D1" s="6" t="s">
        <v>233</v>
      </c>
      <c r="E1" s="6" t="s">
        <v>234</v>
      </c>
      <c r="F1" s="6" t="s">
        <v>231</v>
      </c>
      <c r="G1" s="6" t="s">
        <v>240</v>
      </c>
    </row>
    <row r="2" spans="1:7">
      <c r="A2" t="s">
        <v>24</v>
      </c>
    </row>
    <row r="3" spans="1:7">
      <c r="B3" s="3" t="s">
        <v>242</v>
      </c>
      <c r="C3" s="4">
        <v>421.81</v>
      </c>
      <c r="D3" s="4">
        <v>686.86</v>
      </c>
      <c r="E3" s="4">
        <v>466.07</v>
      </c>
      <c r="F3" s="4">
        <v>381.1</v>
      </c>
      <c r="G3" s="4">
        <f>SUM(C3:F3)</f>
        <v>1955.8400000000001</v>
      </c>
    </row>
    <row r="5" spans="1:7">
      <c r="B5" s="3" t="s">
        <v>243</v>
      </c>
    </row>
    <row r="6" spans="1:7">
      <c r="B6" t="s">
        <v>197</v>
      </c>
      <c r="C6" s="6">
        <v>82.38</v>
      </c>
      <c r="D6" s="6">
        <v>85.35</v>
      </c>
      <c r="E6" s="6">
        <v>96.79</v>
      </c>
      <c r="F6" s="6">
        <v>68.39</v>
      </c>
      <c r="G6" s="6">
        <f>SUM(C6:F6)</f>
        <v>332.90999999999997</v>
      </c>
    </row>
    <row r="7" spans="1:7">
      <c r="B7" s="15" t="s">
        <v>241</v>
      </c>
      <c r="C7" s="6">
        <v>10.23</v>
      </c>
      <c r="D7" s="6">
        <v>7.1</v>
      </c>
      <c r="E7" s="6">
        <v>15.52</v>
      </c>
      <c r="F7" s="6">
        <v>18.649999999999999</v>
      </c>
      <c r="G7" s="6">
        <f>SUM(C7:F7)</f>
        <v>51.499999999999993</v>
      </c>
    </row>
    <row r="8" spans="1:7">
      <c r="C8" s="4">
        <f>+C6+C7</f>
        <v>92.61</v>
      </c>
      <c r="D8" s="4">
        <f>+D6+D7</f>
        <v>92.449999999999989</v>
      </c>
      <c r="E8" s="4">
        <f>+E6+E7</f>
        <v>112.31</v>
      </c>
      <c r="F8" s="4">
        <f>+F6+F7</f>
        <v>87.039999999999992</v>
      </c>
      <c r="G8" s="4">
        <f>+G6+G7</f>
        <v>384.40999999999997</v>
      </c>
    </row>
    <row r="10" spans="1:7">
      <c r="B10" s="3" t="s">
        <v>54</v>
      </c>
      <c r="C10" s="4">
        <f>+C8+C3</f>
        <v>514.41999999999996</v>
      </c>
      <c r="D10" s="4">
        <f>+D8+D3</f>
        <v>779.31</v>
      </c>
      <c r="E10" s="4">
        <f>+E8+E3</f>
        <v>578.38</v>
      </c>
      <c r="F10" s="4">
        <f>+F8+F3</f>
        <v>468.14</v>
      </c>
      <c r="G10" s="4">
        <f>+G8+G3</f>
        <v>2340.25</v>
      </c>
    </row>
    <row r="13" spans="1:7">
      <c r="A13" t="s">
        <v>0</v>
      </c>
    </row>
    <row r="14" spans="1:7">
      <c r="B14" s="3" t="s">
        <v>242</v>
      </c>
      <c r="C14" s="4">
        <v>43.43</v>
      </c>
      <c r="D14" s="4">
        <v>6.32</v>
      </c>
      <c r="E14" s="4">
        <v>120.73</v>
      </c>
      <c r="F14" s="4">
        <v>513.27</v>
      </c>
      <c r="G14" s="4">
        <f>SUM(C14:F14)</f>
        <v>683.75</v>
      </c>
    </row>
    <row r="16" spans="1:7">
      <c r="B16" s="3" t="s">
        <v>243</v>
      </c>
    </row>
    <row r="17" spans="1:8">
      <c r="B17" t="s">
        <v>197</v>
      </c>
      <c r="C17" s="6">
        <v>24.6</v>
      </c>
      <c r="D17" s="6">
        <v>29.15</v>
      </c>
      <c r="E17" s="6">
        <v>39.28</v>
      </c>
      <c r="F17" s="6">
        <v>72.319999999999993</v>
      </c>
      <c r="G17" s="6">
        <v>165.35</v>
      </c>
    </row>
    <row r="18" spans="1:8">
      <c r="B18" s="15" t="s">
        <v>241</v>
      </c>
      <c r="C18" s="6">
        <v>22.27</v>
      </c>
      <c r="D18" s="6">
        <v>23.34</v>
      </c>
      <c r="E18" s="6">
        <v>71.650000000000006</v>
      </c>
      <c r="F18" s="6">
        <v>53.43</v>
      </c>
      <c r="G18" s="6">
        <f>SUM(C18:F18)</f>
        <v>170.69</v>
      </c>
    </row>
    <row r="19" spans="1:8">
      <c r="C19" s="4">
        <f>+C17+C18</f>
        <v>46.870000000000005</v>
      </c>
      <c r="D19" s="4">
        <f>+D17+D18</f>
        <v>52.489999999999995</v>
      </c>
      <c r="E19" s="4">
        <f>+E17+E18</f>
        <v>110.93</v>
      </c>
      <c r="F19" s="4">
        <f>+F17+F18</f>
        <v>125.75</v>
      </c>
      <c r="G19" s="4">
        <f>+G17+G18</f>
        <v>336.03999999999996</v>
      </c>
    </row>
    <row r="21" spans="1:8">
      <c r="B21" s="3" t="s">
        <v>244</v>
      </c>
      <c r="C21" s="4">
        <v>124.23</v>
      </c>
      <c r="D21" s="4">
        <v>65.41</v>
      </c>
      <c r="E21" s="4">
        <v>-34.17</v>
      </c>
      <c r="F21" s="4">
        <v>-9.3699999999999992</v>
      </c>
      <c r="G21" s="4">
        <f>SUM(C21:F21)</f>
        <v>146.09999999999997</v>
      </c>
    </row>
    <row r="23" spans="1:8">
      <c r="B23" s="3" t="s">
        <v>54</v>
      </c>
      <c r="C23" s="4">
        <f>+C21+C19+C14</f>
        <v>214.53000000000003</v>
      </c>
      <c r="D23" s="4">
        <f>+D21+D19+D14</f>
        <v>124.22</v>
      </c>
      <c r="E23" s="4">
        <f>+E21+E19+E14</f>
        <v>197.49</v>
      </c>
      <c r="F23" s="4">
        <f>+F21+F19+F14</f>
        <v>629.65</v>
      </c>
      <c r="G23" s="4">
        <f>+G21+G19+G14</f>
        <v>1165.8899999999999</v>
      </c>
    </row>
    <row r="25" spans="1:8">
      <c r="A25" t="s">
        <v>286</v>
      </c>
      <c r="C25" s="6">
        <f>+C3-C14</f>
        <v>378.38</v>
      </c>
      <c r="D25" s="6">
        <f>+D3-D14</f>
        <v>680.54</v>
      </c>
      <c r="E25" s="6">
        <f>+E3-E14</f>
        <v>345.34</v>
      </c>
      <c r="F25" s="6">
        <f>+F3-F14</f>
        <v>-132.16999999999996</v>
      </c>
      <c r="G25" s="6">
        <f>+G3-G14</f>
        <v>1272.0900000000001</v>
      </c>
      <c r="H25" t="s">
        <v>93</v>
      </c>
    </row>
    <row r="27" spans="1:8">
      <c r="A27" t="s">
        <v>286</v>
      </c>
      <c r="C27" s="6">
        <f>+C8-C19</f>
        <v>45.739999999999995</v>
      </c>
      <c r="D27" s="6">
        <f>+D8-D19</f>
        <v>39.959999999999994</v>
      </c>
      <c r="E27" s="6">
        <f>+E8-E19</f>
        <v>1.3799999999999955</v>
      </c>
      <c r="F27" s="6">
        <f>+F8-F19</f>
        <v>-38.710000000000008</v>
      </c>
      <c r="G27" s="6">
        <f>+G8-G19</f>
        <v>48.370000000000005</v>
      </c>
      <c r="H27" t="s">
        <v>94</v>
      </c>
    </row>
    <row r="29" spans="1:8">
      <c r="A29" t="s">
        <v>286</v>
      </c>
      <c r="C29" s="6">
        <f>+C25+C27</f>
        <v>424.12</v>
      </c>
      <c r="D29" s="6">
        <f>+D25+D27</f>
        <v>720.5</v>
      </c>
      <c r="E29" s="6">
        <f>+E25+E27</f>
        <v>346.71999999999997</v>
      </c>
      <c r="F29" s="6">
        <f>+F25+F27</f>
        <v>-170.87999999999997</v>
      </c>
      <c r="G29" s="6">
        <f>+G25+G27</f>
        <v>1320.46</v>
      </c>
      <c r="H29" t="s">
        <v>287</v>
      </c>
    </row>
  </sheetData>
  <phoneticPr fontId="0" type="noConversion"/>
  <printOptions horizontalCentered="1" verticalCentered="1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3" workbookViewId="0">
      <selection activeCell="E25" sqref="E25"/>
    </sheetView>
  </sheetViews>
  <sheetFormatPr baseColWidth="10" defaultColWidth="8.83203125" defaultRowHeight="12" x14ac:dyDescent="0"/>
  <cols>
    <col min="1" max="1" width="4.1640625" customWidth="1"/>
    <col min="2" max="2" width="41.5" customWidth="1"/>
    <col min="3" max="3" width="18.5" customWidth="1"/>
    <col min="4" max="4" width="36.5" customWidth="1"/>
  </cols>
  <sheetData>
    <row r="1" spans="1:4">
      <c r="B1" s="3" t="s">
        <v>133</v>
      </c>
      <c r="C1" s="9" t="s">
        <v>134</v>
      </c>
      <c r="D1" s="9" t="s">
        <v>135</v>
      </c>
    </row>
    <row r="2" spans="1:4">
      <c r="B2" s="3"/>
    </row>
    <row r="3" spans="1:4" ht="13">
      <c r="A3" s="39" t="s">
        <v>136</v>
      </c>
      <c r="B3" s="40" t="s">
        <v>17</v>
      </c>
    </row>
    <row r="4" spans="1:4" ht="13">
      <c r="A4" s="39"/>
      <c r="B4" s="40" t="s">
        <v>53</v>
      </c>
    </row>
    <row r="5" spans="1:4" ht="13">
      <c r="A5" s="13"/>
      <c r="B5" s="40" t="s">
        <v>18</v>
      </c>
      <c r="C5" s="41" t="s">
        <v>137</v>
      </c>
      <c r="D5" s="41" t="s">
        <v>137</v>
      </c>
    </row>
    <row r="6" spans="1:4" ht="13">
      <c r="A6" s="13"/>
      <c r="B6" s="40" t="s">
        <v>29</v>
      </c>
      <c r="C6" s="41" t="s">
        <v>137</v>
      </c>
      <c r="D6" s="41" t="s">
        <v>137</v>
      </c>
    </row>
    <row r="7" spans="1:4" ht="13">
      <c r="A7" s="13"/>
      <c r="B7" s="40"/>
    </row>
    <row r="8" spans="1:4" ht="13">
      <c r="A8" s="13"/>
      <c r="B8" s="40" t="s">
        <v>19</v>
      </c>
      <c r="C8">
        <v>0</v>
      </c>
      <c r="D8">
        <v>0</v>
      </c>
    </row>
    <row r="9" spans="1:4" ht="13">
      <c r="A9" s="13"/>
      <c r="B9" s="40"/>
    </row>
    <row r="10" spans="1:4" ht="13">
      <c r="A10" s="39" t="s">
        <v>138</v>
      </c>
      <c r="B10" s="40" t="s">
        <v>20</v>
      </c>
    </row>
    <row r="11" spans="1:4" ht="13">
      <c r="A11" s="13"/>
      <c r="B11" s="40" t="s">
        <v>18</v>
      </c>
      <c r="C11" s="41" t="s">
        <v>137</v>
      </c>
      <c r="D11" s="322" t="s">
        <v>139</v>
      </c>
    </row>
    <row r="12" spans="1:4" ht="24" customHeight="1">
      <c r="A12" s="13"/>
      <c r="B12" s="40" t="s">
        <v>29</v>
      </c>
      <c r="C12" s="41" t="s">
        <v>137</v>
      </c>
      <c r="D12" s="322"/>
    </row>
    <row r="13" spans="1:4" ht="10" customHeight="1">
      <c r="A13" s="13"/>
      <c r="B13" s="40"/>
    </row>
    <row r="14" spans="1:4" ht="13">
      <c r="A14" s="13"/>
      <c r="B14" s="40" t="s">
        <v>21</v>
      </c>
    </row>
    <row r="15" spans="1:4" ht="13">
      <c r="A15" s="14"/>
      <c r="B15" s="40"/>
    </row>
    <row r="16" spans="1:4" ht="13">
      <c r="A16" s="39" t="s">
        <v>140</v>
      </c>
      <c r="B16" s="40" t="s">
        <v>83</v>
      </c>
    </row>
    <row r="17" spans="1:4" ht="13">
      <c r="A17" s="13"/>
      <c r="B17" s="40" t="s">
        <v>141</v>
      </c>
      <c r="C17" s="41" t="s">
        <v>137</v>
      </c>
      <c r="D17" s="41" t="s">
        <v>137</v>
      </c>
    </row>
    <row r="18" spans="1:4" ht="13">
      <c r="A18" s="13"/>
      <c r="B18" s="43" t="s">
        <v>84</v>
      </c>
      <c r="C18" s="41" t="s">
        <v>137</v>
      </c>
      <c r="D18" s="41" t="s">
        <v>137</v>
      </c>
    </row>
    <row r="19" spans="1:4" ht="13">
      <c r="A19" s="13"/>
      <c r="B19" s="40" t="s">
        <v>33</v>
      </c>
      <c r="C19">
        <v>0</v>
      </c>
      <c r="D19">
        <v>0</v>
      </c>
    </row>
    <row r="20" spans="1:4" ht="13">
      <c r="A20" s="13"/>
      <c r="B20" s="40"/>
    </row>
    <row r="21" spans="1:4" ht="13">
      <c r="A21" s="2"/>
      <c r="B21" s="44" t="s">
        <v>142</v>
      </c>
    </row>
    <row r="22" spans="1:4">
      <c r="A22" s="1"/>
    </row>
    <row r="23" spans="1:4" ht="24">
      <c r="A23" s="45">
        <v>1</v>
      </c>
      <c r="B23" s="46" t="s">
        <v>143</v>
      </c>
      <c r="C23" s="41" t="s">
        <v>137</v>
      </c>
      <c r="D23" s="42" t="s">
        <v>144</v>
      </c>
    </row>
    <row r="24" spans="1:4" ht="24">
      <c r="A24" s="9">
        <v>2</v>
      </c>
      <c r="B24" s="46" t="s">
        <v>145</v>
      </c>
      <c r="C24" s="41" t="s">
        <v>137</v>
      </c>
      <c r="D24" s="42" t="s">
        <v>146</v>
      </c>
    </row>
    <row r="25" spans="1:4" ht="24">
      <c r="A25" s="45">
        <v>3</v>
      </c>
      <c r="B25" s="47" t="s">
        <v>147</v>
      </c>
      <c r="C25" s="41" t="s">
        <v>137</v>
      </c>
      <c r="D25" s="42" t="s">
        <v>148</v>
      </c>
    </row>
    <row r="26" spans="1:4" ht="24">
      <c r="A26" s="45">
        <v>4</v>
      </c>
      <c r="B26" s="47" t="s">
        <v>149</v>
      </c>
      <c r="C26" s="41" t="s">
        <v>137</v>
      </c>
      <c r="D26" s="42" t="s">
        <v>150</v>
      </c>
    </row>
    <row r="27" spans="1:4" ht="24">
      <c r="A27" s="45">
        <v>5</v>
      </c>
      <c r="B27" s="46" t="s">
        <v>151</v>
      </c>
      <c r="C27" s="41" t="s">
        <v>137</v>
      </c>
      <c r="D27" s="42" t="s">
        <v>152</v>
      </c>
    </row>
    <row r="28" spans="1:4" ht="36">
      <c r="A28" s="45">
        <v>6</v>
      </c>
      <c r="B28" s="46" t="s">
        <v>153</v>
      </c>
      <c r="C28" s="41" t="s">
        <v>137</v>
      </c>
      <c r="D28" s="42" t="s">
        <v>154</v>
      </c>
    </row>
    <row r="29" spans="1:4">
      <c r="A29" s="45">
        <v>7</v>
      </c>
      <c r="B29" s="46" t="s">
        <v>155</v>
      </c>
      <c r="C29" s="41" t="s">
        <v>137</v>
      </c>
      <c r="D29" s="41" t="s">
        <v>137</v>
      </c>
    </row>
  </sheetData>
  <mergeCells count="1">
    <mergeCell ref="D11:D12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108"/>
  <sheetViews>
    <sheetView topLeftCell="A18" workbookViewId="0">
      <selection activeCell="F48" sqref="F48"/>
    </sheetView>
  </sheetViews>
  <sheetFormatPr baseColWidth="10" defaultColWidth="8.83203125" defaultRowHeight="12" x14ac:dyDescent="0"/>
  <cols>
    <col min="1" max="2" width="8.83203125" style="3"/>
    <col min="3" max="3" width="22" style="3" customWidth="1"/>
    <col min="4" max="4" width="8.83203125" style="4"/>
    <col min="5" max="5" width="12.1640625" style="3" customWidth="1"/>
    <col min="6" max="6" width="10.1640625" style="3" customWidth="1"/>
    <col min="7" max="7" width="10.5" style="3" customWidth="1"/>
    <col min="8" max="8" width="8.83203125" style="3"/>
    <col min="9" max="9" width="11.33203125" style="3" customWidth="1"/>
    <col min="10" max="10" width="11" style="3" customWidth="1"/>
    <col min="11" max="11" width="9.83203125" style="3" customWidth="1"/>
    <col min="12" max="12" width="8.83203125" style="3"/>
    <col min="13" max="13" width="10.83203125" style="3" customWidth="1"/>
    <col min="14" max="14" width="11" style="3" customWidth="1"/>
    <col min="15" max="16384" width="8.83203125" style="3"/>
  </cols>
  <sheetData>
    <row r="2" spans="2:12">
      <c r="B2" s="3" t="s">
        <v>31</v>
      </c>
    </row>
    <row r="4" spans="2:12">
      <c r="B4" s="3" t="s">
        <v>55</v>
      </c>
    </row>
    <row r="5" spans="2:12">
      <c r="L5" s="3" t="s">
        <v>56</v>
      </c>
    </row>
    <row r="6" spans="2:12">
      <c r="D6" s="25" t="s">
        <v>89</v>
      </c>
      <c r="E6" s="21">
        <v>37865</v>
      </c>
      <c r="F6" s="21">
        <v>37773</v>
      </c>
      <c r="G6" s="21">
        <v>37681</v>
      </c>
      <c r="H6" s="21">
        <v>37591</v>
      </c>
      <c r="I6" s="21">
        <v>37500</v>
      </c>
      <c r="J6" s="21">
        <v>37408</v>
      </c>
      <c r="K6" s="21">
        <v>37316</v>
      </c>
      <c r="L6" s="21">
        <v>37226</v>
      </c>
    </row>
    <row r="7" spans="2:12">
      <c r="K7" s="3" t="s">
        <v>57</v>
      </c>
    </row>
    <row r="8" spans="2:12">
      <c r="B8" s="3" t="s">
        <v>58</v>
      </c>
      <c r="D8" s="19">
        <v>66.72</v>
      </c>
      <c r="E8" s="20">
        <v>67.319999999999993</v>
      </c>
      <c r="F8" s="20">
        <v>59.23</v>
      </c>
      <c r="G8" s="20">
        <v>67.61</v>
      </c>
      <c r="H8" s="3">
        <v>50.97</v>
      </c>
      <c r="I8" s="3">
        <v>59.29</v>
      </c>
      <c r="J8" s="3">
        <v>65.510000000000005</v>
      </c>
      <c r="K8" s="4">
        <v>52.8</v>
      </c>
      <c r="L8" s="3">
        <v>59.95</v>
      </c>
    </row>
    <row r="9" spans="2:12">
      <c r="B9" s="3" t="s">
        <v>59</v>
      </c>
      <c r="D9" s="19">
        <v>6.49</v>
      </c>
      <c r="E9" s="20">
        <v>6.35</v>
      </c>
      <c r="F9" s="20">
        <v>6.55</v>
      </c>
      <c r="G9" s="20">
        <v>6.49</v>
      </c>
      <c r="H9" s="3">
        <v>6.46</v>
      </c>
      <c r="I9" s="3">
        <v>6.74</v>
      </c>
      <c r="J9" s="3">
        <v>6.88</v>
      </c>
      <c r="K9" s="3">
        <v>7.43</v>
      </c>
      <c r="L9" s="3">
        <v>6.48</v>
      </c>
    </row>
    <row r="10" spans="2:12">
      <c r="B10" s="3" t="s">
        <v>60</v>
      </c>
      <c r="D10" s="19">
        <v>7.53</v>
      </c>
      <c r="E10" s="20">
        <v>7.43</v>
      </c>
      <c r="F10" s="20">
        <v>8.5500000000000007</v>
      </c>
      <c r="G10" s="20">
        <v>8.18</v>
      </c>
      <c r="H10" s="3">
        <v>8.64</v>
      </c>
      <c r="I10" s="3">
        <v>5.84</v>
      </c>
      <c r="J10" s="3">
        <v>6.5</v>
      </c>
      <c r="K10" s="3">
        <v>8.59</v>
      </c>
      <c r="L10" s="3">
        <v>10.119999999999999</v>
      </c>
    </row>
    <row r="11" spans="2:12">
      <c r="B11" s="3" t="s">
        <v>54</v>
      </c>
      <c r="D11" s="4">
        <f t="shared" ref="D11:L11" si="0">SUM(D8:D10)</f>
        <v>80.739999999999995</v>
      </c>
      <c r="E11" s="3">
        <f t="shared" si="0"/>
        <v>81.099999999999994</v>
      </c>
      <c r="F11" s="3">
        <f t="shared" si="0"/>
        <v>74.33</v>
      </c>
      <c r="G11" s="3">
        <f t="shared" si="0"/>
        <v>82.28</v>
      </c>
      <c r="H11" s="3">
        <f t="shared" si="0"/>
        <v>66.069999999999993</v>
      </c>
      <c r="I11" s="3">
        <f t="shared" si="0"/>
        <v>71.87</v>
      </c>
      <c r="J11" s="3">
        <f t="shared" si="0"/>
        <v>78.89</v>
      </c>
      <c r="K11" s="3">
        <f t="shared" si="0"/>
        <v>68.819999999999993</v>
      </c>
      <c r="L11" s="3">
        <f t="shared" si="0"/>
        <v>76.550000000000011</v>
      </c>
    </row>
    <row r="12" spans="2:12">
      <c r="B12" s="3" t="s">
        <v>61</v>
      </c>
      <c r="D12" s="19">
        <v>1.1299999999999999</v>
      </c>
      <c r="E12" s="20">
        <v>1.03</v>
      </c>
      <c r="F12" s="20">
        <v>0.97</v>
      </c>
      <c r="G12" s="20">
        <v>0.99</v>
      </c>
      <c r="H12" s="3">
        <v>1.06</v>
      </c>
      <c r="I12" s="3">
        <v>0.79</v>
      </c>
      <c r="J12" s="3">
        <v>0.83</v>
      </c>
      <c r="K12" s="4">
        <v>0.9</v>
      </c>
      <c r="L12" s="3">
        <v>0.93</v>
      </c>
    </row>
    <row r="13" spans="2:12">
      <c r="B13" s="3" t="s">
        <v>62</v>
      </c>
      <c r="D13" s="19">
        <v>73.72</v>
      </c>
      <c r="E13" s="20">
        <v>92.58</v>
      </c>
      <c r="F13" s="20">
        <v>72.59</v>
      </c>
      <c r="G13" s="19">
        <v>80</v>
      </c>
      <c r="H13" s="3">
        <v>57.24</v>
      </c>
      <c r="I13" s="3">
        <v>73.2</v>
      </c>
      <c r="J13" s="3">
        <v>77.83</v>
      </c>
      <c r="K13" s="3">
        <v>81.53</v>
      </c>
      <c r="L13" s="3">
        <v>77.67</v>
      </c>
    </row>
    <row r="15" spans="2:12">
      <c r="B15" s="3" t="s">
        <v>63</v>
      </c>
      <c r="D15" s="4">
        <f t="shared" ref="D15:L15" si="1">SUM(D11:D14)</f>
        <v>155.58999999999997</v>
      </c>
      <c r="E15" s="3">
        <f t="shared" si="1"/>
        <v>174.70999999999998</v>
      </c>
      <c r="F15" s="3">
        <f t="shared" si="1"/>
        <v>147.88999999999999</v>
      </c>
      <c r="G15" s="3">
        <f t="shared" si="1"/>
        <v>163.26999999999998</v>
      </c>
      <c r="H15" s="3">
        <f t="shared" si="1"/>
        <v>124.37</v>
      </c>
      <c r="I15" s="3">
        <f t="shared" si="1"/>
        <v>145.86000000000001</v>
      </c>
      <c r="J15" s="3">
        <f t="shared" si="1"/>
        <v>157.55000000000001</v>
      </c>
      <c r="K15" s="3">
        <f t="shared" si="1"/>
        <v>151.25</v>
      </c>
      <c r="L15" s="3">
        <f t="shared" si="1"/>
        <v>155.15000000000003</v>
      </c>
    </row>
    <row r="16" spans="2:12">
      <c r="B16" s="3" t="s">
        <v>64</v>
      </c>
      <c r="D16" s="4">
        <v>155.59</v>
      </c>
      <c r="E16" s="3">
        <f>165.85+8.86</f>
        <v>174.70999999999998</v>
      </c>
      <c r="F16" s="3">
        <v>147.88999999999999</v>
      </c>
      <c r="G16" s="3">
        <v>163.27000000000001</v>
      </c>
      <c r="H16" s="3">
        <v>124.37</v>
      </c>
      <c r="I16" s="3">
        <v>145.86000000000001</v>
      </c>
      <c r="J16" s="3">
        <v>157.55000000000001</v>
      </c>
      <c r="K16" s="3">
        <v>151.25</v>
      </c>
      <c r="L16" s="3">
        <v>155.15</v>
      </c>
    </row>
    <row r="18" spans="1:14">
      <c r="C18" s="3" t="s">
        <v>65</v>
      </c>
      <c r="D18" s="4">
        <f>+D16-D15</f>
        <v>0</v>
      </c>
      <c r="E18" s="3">
        <f t="shared" ref="E18:L18" si="2">+E16-E15</f>
        <v>0</v>
      </c>
      <c r="F18" s="3">
        <f t="shared" si="2"/>
        <v>0</v>
      </c>
      <c r="G18" s="3">
        <f t="shared" si="2"/>
        <v>0</v>
      </c>
      <c r="H18" s="3">
        <f t="shared" si="2"/>
        <v>0</v>
      </c>
      <c r="I18" s="3">
        <f t="shared" si="2"/>
        <v>0</v>
      </c>
      <c r="J18" s="3">
        <f t="shared" si="2"/>
        <v>0</v>
      </c>
      <c r="K18" s="3">
        <f t="shared" si="2"/>
        <v>0</v>
      </c>
      <c r="L18" s="3">
        <f t="shared" si="2"/>
        <v>0</v>
      </c>
    </row>
    <row r="20" spans="1:14">
      <c r="B20" s="3" t="s">
        <v>66</v>
      </c>
    </row>
    <row r="21" spans="1:14">
      <c r="D21" s="4" t="s">
        <v>90</v>
      </c>
      <c r="E21" s="3" t="s">
        <v>87</v>
      </c>
      <c r="F21" s="3" t="s">
        <v>67</v>
      </c>
      <c r="G21" s="3" t="s">
        <v>68</v>
      </c>
      <c r="H21" s="3" t="s">
        <v>69</v>
      </c>
      <c r="I21" s="3" t="s">
        <v>88</v>
      </c>
      <c r="J21" s="3" t="s">
        <v>70</v>
      </c>
      <c r="K21" s="3" t="s">
        <v>71</v>
      </c>
      <c r="M21" s="3" t="s">
        <v>72</v>
      </c>
      <c r="N21" s="3" t="s">
        <v>73</v>
      </c>
    </row>
    <row r="22" spans="1:14">
      <c r="A22" s="3" t="s">
        <v>74</v>
      </c>
      <c r="D22" s="4">
        <f>+H13-D13</f>
        <v>-16.479999999999997</v>
      </c>
      <c r="E22" s="8">
        <f>-E13+H13</f>
        <v>-35.339999999999996</v>
      </c>
      <c r="F22" s="8">
        <f>-F13+H13</f>
        <v>-15.350000000000001</v>
      </c>
      <c r="G22" s="8">
        <f>-G13+H13</f>
        <v>-22.759999999999998</v>
      </c>
      <c r="H22" s="8">
        <f>-H13+L13</f>
        <v>20.43</v>
      </c>
      <c r="I22" s="8">
        <f>-I13+L13</f>
        <v>4.4699999999999989</v>
      </c>
      <c r="J22" s="8">
        <f>-J13+L13</f>
        <v>-0.15999999999999659</v>
      </c>
      <c r="K22" s="8">
        <f>-K13+L13</f>
        <v>-3.8599999999999994</v>
      </c>
      <c r="L22" s="8"/>
      <c r="M22" s="8">
        <f>+F22-G22</f>
        <v>7.4099999999999966</v>
      </c>
      <c r="N22" s="8">
        <f>+J22-K22</f>
        <v>3.7000000000000028</v>
      </c>
    </row>
    <row r="23" spans="1:14">
      <c r="A23" s="3" t="s">
        <v>75</v>
      </c>
      <c r="F23" s="8"/>
      <c r="G23" s="8"/>
      <c r="H23" s="8"/>
      <c r="I23" s="8"/>
      <c r="J23" s="8"/>
      <c r="K23" s="8"/>
      <c r="L23" s="8"/>
      <c r="M23" s="8"/>
      <c r="N23" s="8"/>
    </row>
    <row r="24" spans="1:14">
      <c r="A24" s="3" t="s">
        <v>76</v>
      </c>
      <c r="D24" s="4">
        <f t="shared" ref="D24:K24" si="3">+D33-D22</f>
        <v>685.30000000000007</v>
      </c>
      <c r="E24" s="8">
        <f t="shared" si="3"/>
        <v>506.53999999999996</v>
      </c>
      <c r="F24" s="8">
        <f t="shared" si="3"/>
        <v>316.44</v>
      </c>
      <c r="G24" s="8">
        <f t="shared" si="3"/>
        <v>148.63999999999999</v>
      </c>
      <c r="H24" s="8">
        <f t="shared" si="3"/>
        <v>584.94000000000005</v>
      </c>
      <c r="I24" s="8">
        <f t="shared" si="3"/>
        <v>439.37</v>
      </c>
      <c r="J24" s="8">
        <f t="shared" si="3"/>
        <v>299.24</v>
      </c>
      <c r="K24" s="8">
        <f t="shared" si="3"/>
        <v>146.19999999999999</v>
      </c>
      <c r="L24" s="8"/>
      <c r="M24" s="8">
        <f>+F24-G24</f>
        <v>167.8</v>
      </c>
      <c r="N24" s="8">
        <f>+J24-K24</f>
        <v>153.04000000000002</v>
      </c>
    </row>
    <row r="25" spans="1:14">
      <c r="E25" s="22" t="s">
        <v>77</v>
      </c>
      <c r="F25" s="22" t="s">
        <v>77</v>
      </c>
      <c r="G25" s="22" t="s">
        <v>77</v>
      </c>
      <c r="H25" s="22" t="s">
        <v>77</v>
      </c>
      <c r="I25" s="22" t="s">
        <v>77</v>
      </c>
      <c r="J25" s="22" t="s">
        <v>77</v>
      </c>
      <c r="K25" s="22" t="s">
        <v>77</v>
      </c>
      <c r="L25" s="22"/>
      <c r="M25" s="22" t="s">
        <v>77</v>
      </c>
      <c r="N25" s="22" t="s">
        <v>77</v>
      </c>
    </row>
    <row r="26" spans="1:14">
      <c r="D26" s="4">
        <f>+D24+D22</f>
        <v>668.82</v>
      </c>
      <c r="E26" s="8">
        <f>+E24+E22</f>
        <v>471.2</v>
      </c>
      <c r="F26" s="8">
        <f>+F24+F22</f>
        <v>301.08999999999997</v>
      </c>
      <c r="G26" s="8">
        <f t="shared" ref="G26:N26" si="4">+G24+G22</f>
        <v>125.88</v>
      </c>
      <c r="H26" s="8">
        <f t="shared" si="4"/>
        <v>605.37</v>
      </c>
      <c r="I26" s="8">
        <f>+I24+I22</f>
        <v>443.84000000000003</v>
      </c>
      <c r="J26" s="8">
        <f t="shared" si="4"/>
        <v>299.08000000000004</v>
      </c>
      <c r="K26" s="8">
        <f t="shared" si="4"/>
        <v>142.33999999999997</v>
      </c>
      <c r="L26" s="8"/>
      <c r="M26" s="8">
        <f t="shared" si="4"/>
        <v>175.21</v>
      </c>
      <c r="N26" s="8">
        <f t="shared" si="4"/>
        <v>156.74</v>
      </c>
    </row>
    <row r="27" spans="1:14">
      <c r="F27" s="8"/>
      <c r="G27" s="8"/>
      <c r="H27" s="8"/>
      <c r="I27" s="8"/>
      <c r="J27" s="8"/>
      <c r="K27" s="8"/>
      <c r="L27" s="8"/>
      <c r="M27" s="8">
        <f>+F26-G26</f>
        <v>175.20999999999998</v>
      </c>
      <c r="N27" s="8">
        <f>+J26-K26</f>
        <v>156.74000000000007</v>
      </c>
    </row>
    <row r="28" spans="1:14">
      <c r="B28" s="3" t="s">
        <v>78</v>
      </c>
      <c r="F28" s="8"/>
      <c r="G28" s="8"/>
      <c r="H28" s="8"/>
      <c r="I28" s="8"/>
      <c r="J28" s="8"/>
      <c r="K28" s="8"/>
      <c r="L28" s="8"/>
      <c r="M28" s="8"/>
      <c r="N28" s="8"/>
    </row>
    <row r="29" spans="1:14">
      <c r="F29" s="8"/>
      <c r="G29" s="8"/>
      <c r="H29" s="8"/>
      <c r="I29" s="8"/>
      <c r="J29" s="8"/>
      <c r="K29" s="8"/>
      <c r="L29" s="8"/>
      <c r="M29" s="8"/>
      <c r="N29" s="8"/>
    </row>
    <row r="30" spans="1:14">
      <c r="A30" s="3" t="s">
        <v>74</v>
      </c>
      <c r="F30" s="8">
        <v>-23.61</v>
      </c>
      <c r="G30" s="8">
        <v>-38.97</v>
      </c>
      <c r="H30" s="8">
        <v>30.9</v>
      </c>
      <c r="I30" s="8"/>
      <c r="J30" s="8">
        <v>-2.5</v>
      </c>
      <c r="K30" s="8">
        <v>3.87</v>
      </c>
      <c r="L30" s="8"/>
      <c r="M30" s="8">
        <v>15.36</v>
      </c>
      <c r="N30" s="8">
        <v>-6.37</v>
      </c>
    </row>
    <row r="31" spans="1:14">
      <c r="A31" s="3" t="s">
        <v>76</v>
      </c>
      <c r="D31" s="4">
        <v>668.82</v>
      </c>
      <c r="E31" s="3">
        <v>471.2</v>
      </c>
      <c r="F31" s="8">
        <v>324.7</v>
      </c>
      <c r="G31" s="8">
        <v>164.85</v>
      </c>
      <c r="H31" s="8">
        <v>574.47</v>
      </c>
      <c r="I31" s="8">
        <v>443.84</v>
      </c>
      <c r="J31" s="8">
        <v>301.58</v>
      </c>
      <c r="K31" s="8">
        <v>138.47</v>
      </c>
      <c r="L31" s="8"/>
      <c r="M31" s="8">
        <v>159.85</v>
      </c>
      <c r="N31" s="8">
        <v>163.11000000000001</v>
      </c>
    </row>
    <row r="32" spans="1:14">
      <c r="E32" s="22" t="s">
        <v>77</v>
      </c>
      <c r="F32" s="22" t="s">
        <v>77</v>
      </c>
      <c r="G32" s="22" t="s">
        <v>77</v>
      </c>
      <c r="H32" s="22" t="s">
        <v>77</v>
      </c>
      <c r="I32" s="22" t="s">
        <v>77</v>
      </c>
      <c r="J32" s="22" t="s">
        <v>77</v>
      </c>
      <c r="K32" s="22" t="s">
        <v>77</v>
      </c>
      <c r="L32" s="22"/>
      <c r="M32" s="22" t="s">
        <v>77</v>
      </c>
      <c r="N32" s="22" t="s">
        <v>77</v>
      </c>
    </row>
    <row r="33" spans="3:14">
      <c r="C33" s="3" t="s">
        <v>54</v>
      </c>
      <c r="D33" s="4">
        <f>+D30+D31</f>
        <v>668.82</v>
      </c>
      <c r="E33" s="8">
        <f>+E30+E31</f>
        <v>471.2</v>
      </c>
      <c r="F33" s="8">
        <f>+F30+F31</f>
        <v>301.08999999999997</v>
      </c>
      <c r="G33" s="8">
        <f t="shared" ref="G33:N33" si="5">+G30+G31</f>
        <v>125.88</v>
      </c>
      <c r="H33" s="8">
        <f t="shared" si="5"/>
        <v>605.37</v>
      </c>
      <c r="I33" s="8">
        <f>+I30+I31</f>
        <v>443.84</v>
      </c>
      <c r="J33" s="8">
        <f t="shared" si="5"/>
        <v>299.08</v>
      </c>
      <c r="K33" s="8">
        <f t="shared" si="5"/>
        <v>142.34</v>
      </c>
      <c r="L33" s="8"/>
      <c r="M33" s="8">
        <f t="shared" si="5"/>
        <v>175.20999999999998</v>
      </c>
      <c r="N33" s="8">
        <f t="shared" si="5"/>
        <v>156.74</v>
      </c>
    </row>
    <row r="34" spans="3:14">
      <c r="C34" s="3" t="s">
        <v>79</v>
      </c>
      <c r="E34" s="3">
        <v>471.2</v>
      </c>
      <c r="F34" s="8">
        <v>301.08999999999997</v>
      </c>
      <c r="G34" s="8"/>
      <c r="H34" s="8">
        <v>605.37</v>
      </c>
      <c r="I34" s="8">
        <f>419.91+23.93</f>
        <v>443.84000000000003</v>
      </c>
      <c r="J34" s="8"/>
      <c r="K34" s="8"/>
      <c r="L34" s="8"/>
      <c r="M34" s="8"/>
      <c r="N34" s="8"/>
    </row>
    <row r="36" spans="3:14">
      <c r="C36" s="3" t="s">
        <v>80</v>
      </c>
      <c r="E36" s="8">
        <f>+E33-E34</f>
        <v>0</v>
      </c>
      <c r="F36" s="8">
        <f>+F33-F34</f>
        <v>0</v>
      </c>
      <c r="G36" s="8">
        <f t="shared" ref="G36:N36" si="6">+G33-G34</f>
        <v>125.88</v>
      </c>
      <c r="H36" s="8">
        <f t="shared" si="6"/>
        <v>0</v>
      </c>
      <c r="I36" s="8">
        <f>+I33-I34</f>
        <v>0</v>
      </c>
      <c r="J36" s="8">
        <f t="shared" si="6"/>
        <v>299.08</v>
      </c>
      <c r="K36" s="8">
        <f t="shared" si="6"/>
        <v>142.34</v>
      </c>
      <c r="L36" s="8"/>
      <c r="M36" s="8">
        <f t="shared" si="6"/>
        <v>175.20999999999998</v>
      </c>
      <c r="N36" s="8">
        <f t="shared" si="6"/>
        <v>156.74</v>
      </c>
    </row>
    <row r="38" spans="3:14">
      <c r="C38" s="3" t="s">
        <v>81</v>
      </c>
      <c r="E38" s="8">
        <f>+E26-E33</f>
        <v>0</v>
      </c>
      <c r="F38" s="8">
        <f>+F26-F33</f>
        <v>0</v>
      </c>
      <c r="G38" s="8">
        <f t="shared" ref="G38:N38" si="7">+G26-G33</f>
        <v>0</v>
      </c>
      <c r="H38" s="8">
        <f t="shared" si="7"/>
        <v>0</v>
      </c>
      <c r="I38" s="8">
        <f>+I26-I33</f>
        <v>0</v>
      </c>
      <c r="J38" s="8">
        <f t="shared" si="7"/>
        <v>0</v>
      </c>
      <c r="K38" s="8">
        <f t="shared" si="7"/>
        <v>0</v>
      </c>
      <c r="L38" s="8"/>
      <c r="M38" s="8">
        <f t="shared" si="7"/>
        <v>0</v>
      </c>
      <c r="N38" s="8">
        <f t="shared" si="7"/>
        <v>0</v>
      </c>
    </row>
    <row r="70" spans="2:12">
      <c r="F70" s="3" t="s">
        <v>31</v>
      </c>
    </row>
    <row r="72" spans="2:12">
      <c r="F72" s="3" t="s">
        <v>55</v>
      </c>
    </row>
    <row r="73" spans="2:12">
      <c r="L73" s="3" t="s">
        <v>56</v>
      </c>
    </row>
    <row r="74" spans="2:12">
      <c r="D74" s="25" t="s">
        <v>89</v>
      </c>
      <c r="E74" s="21">
        <v>37865</v>
      </c>
      <c r="F74" s="21">
        <v>37773</v>
      </c>
      <c r="G74" s="21">
        <v>37681</v>
      </c>
      <c r="H74" s="21">
        <v>37591</v>
      </c>
      <c r="I74" s="21">
        <v>37500</v>
      </c>
      <c r="J74" s="21">
        <v>37408</v>
      </c>
      <c r="K74" s="21">
        <v>37316</v>
      </c>
      <c r="L74" s="21">
        <v>37226</v>
      </c>
    </row>
    <row r="75" spans="2:12">
      <c r="K75" s="3" t="s">
        <v>57</v>
      </c>
    </row>
    <row r="76" spans="2:12">
      <c r="B76" s="3" t="s">
        <v>58</v>
      </c>
      <c r="D76" s="4">
        <v>66.72</v>
      </c>
      <c r="E76" s="3">
        <v>67.319999999999993</v>
      </c>
      <c r="F76" s="3">
        <v>59.23</v>
      </c>
      <c r="G76" s="3">
        <v>67.61</v>
      </c>
      <c r="H76" s="3">
        <v>50.97</v>
      </c>
      <c r="I76" s="3">
        <v>59.29</v>
      </c>
      <c r="J76" s="3">
        <v>65.510000000000005</v>
      </c>
      <c r="K76" s="4">
        <v>52.8</v>
      </c>
      <c r="L76" s="3">
        <v>59.95</v>
      </c>
    </row>
    <row r="77" spans="2:12">
      <c r="B77" s="3" t="s">
        <v>59</v>
      </c>
      <c r="D77" s="4">
        <v>6.49</v>
      </c>
      <c r="E77" s="3">
        <v>6.35</v>
      </c>
      <c r="F77" s="3">
        <v>6.55</v>
      </c>
      <c r="G77" s="3">
        <v>6.49</v>
      </c>
      <c r="H77" s="3">
        <v>6.46</v>
      </c>
      <c r="I77" s="3">
        <v>6.74</v>
      </c>
      <c r="J77" s="3">
        <v>6.88</v>
      </c>
      <c r="K77" s="3">
        <v>7.43</v>
      </c>
      <c r="L77" s="3">
        <v>6.48</v>
      </c>
    </row>
    <row r="78" spans="2:12">
      <c r="B78" s="3" t="s">
        <v>60</v>
      </c>
      <c r="D78" s="4">
        <v>7.53</v>
      </c>
      <c r="E78" s="3">
        <v>7.43</v>
      </c>
      <c r="F78" s="3">
        <v>8.5500000000000007</v>
      </c>
      <c r="G78" s="3">
        <v>8.18</v>
      </c>
      <c r="H78" s="3">
        <v>8.64</v>
      </c>
      <c r="I78" s="3">
        <v>5.84</v>
      </c>
      <c r="J78" s="3">
        <v>6.5</v>
      </c>
      <c r="K78" s="3">
        <v>8.59</v>
      </c>
      <c r="L78" s="3">
        <v>10.119999999999999</v>
      </c>
    </row>
    <row r="79" spans="2:12">
      <c r="B79" s="3" t="s">
        <v>54</v>
      </c>
      <c r="D79" s="4">
        <f t="shared" ref="D79:L79" si="8">SUM(D76:D78)</f>
        <v>80.739999999999995</v>
      </c>
      <c r="E79" s="3">
        <f t="shared" si="8"/>
        <v>81.099999999999994</v>
      </c>
      <c r="F79" s="3">
        <f t="shared" si="8"/>
        <v>74.33</v>
      </c>
      <c r="G79" s="3">
        <f t="shared" si="8"/>
        <v>82.28</v>
      </c>
      <c r="H79" s="3">
        <f t="shared" si="8"/>
        <v>66.069999999999993</v>
      </c>
      <c r="I79" s="3">
        <f t="shared" si="8"/>
        <v>71.87</v>
      </c>
      <c r="J79" s="3">
        <f t="shared" si="8"/>
        <v>78.89</v>
      </c>
      <c r="K79" s="3">
        <f t="shared" si="8"/>
        <v>68.819999999999993</v>
      </c>
      <c r="L79" s="3">
        <f t="shared" si="8"/>
        <v>76.550000000000011</v>
      </c>
    </row>
    <row r="81" spans="1:14">
      <c r="B81" s="3" t="s">
        <v>61</v>
      </c>
      <c r="D81" s="4">
        <v>1.1299999999999999</v>
      </c>
      <c r="E81" s="3">
        <v>1.03</v>
      </c>
      <c r="F81" s="3">
        <v>0.97</v>
      </c>
      <c r="G81" s="3">
        <v>0.99</v>
      </c>
      <c r="H81" s="3">
        <v>1.06</v>
      </c>
      <c r="I81" s="3">
        <v>0.79</v>
      </c>
      <c r="J81" s="3">
        <v>0.83</v>
      </c>
      <c r="K81" s="4">
        <v>0.9</v>
      </c>
      <c r="L81" s="3">
        <v>0.93</v>
      </c>
    </row>
    <row r="83" spans="1:14">
      <c r="B83" s="3" t="s">
        <v>62</v>
      </c>
      <c r="D83" s="4">
        <v>73.72</v>
      </c>
      <c r="E83" s="3">
        <v>92.58</v>
      </c>
      <c r="F83" s="3">
        <v>72.59</v>
      </c>
      <c r="G83" s="4">
        <v>80</v>
      </c>
      <c r="H83" s="3">
        <v>57.24</v>
      </c>
      <c r="I83" s="3">
        <v>73.2</v>
      </c>
      <c r="J83" s="3">
        <v>77.83</v>
      </c>
      <c r="K83" s="3">
        <v>81.53</v>
      </c>
      <c r="L83" s="3">
        <v>77.67</v>
      </c>
    </row>
    <row r="85" spans="1:14">
      <c r="B85" s="3" t="s">
        <v>63</v>
      </c>
      <c r="D85" s="4">
        <f t="shared" ref="D85:L85" si="9">SUM(D79:D84)</f>
        <v>155.58999999999997</v>
      </c>
      <c r="E85" s="3">
        <f t="shared" si="9"/>
        <v>174.70999999999998</v>
      </c>
      <c r="F85" s="3">
        <f t="shared" si="9"/>
        <v>147.88999999999999</v>
      </c>
      <c r="G85" s="3">
        <f t="shared" si="9"/>
        <v>163.26999999999998</v>
      </c>
      <c r="H85" s="3">
        <f t="shared" si="9"/>
        <v>124.37</v>
      </c>
      <c r="I85" s="3">
        <f t="shared" si="9"/>
        <v>145.86000000000001</v>
      </c>
      <c r="J85" s="3">
        <f t="shared" si="9"/>
        <v>157.55000000000001</v>
      </c>
      <c r="K85" s="3">
        <f t="shared" si="9"/>
        <v>151.25</v>
      </c>
      <c r="L85" s="3">
        <f t="shared" si="9"/>
        <v>155.15000000000003</v>
      </c>
    </row>
    <row r="86" spans="1:14">
      <c r="B86" s="3" t="s">
        <v>64</v>
      </c>
      <c r="D86" s="4">
        <v>155.59</v>
      </c>
      <c r="E86" s="3">
        <f>165.85+8.86</f>
        <v>174.70999999999998</v>
      </c>
      <c r="F86" s="3">
        <v>147.88999999999999</v>
      </c>
      <c r="G86" s="3">
        <v>163.27000000000001</v>
      </c>
      <c r="H86" s="3">
        <v>124.37</v>
      </c>
      <c r="I86" s="3">
        <v>145.86000000000001</v>
      </c>
      <c r="J86" s="3">
        <v>157.55000000000001</v>
      </c>
      <c r="K86" s="3">
        <v>151.25</v>
      </c>
      <c r="L86" s="3">
        <v>155.15</v>
      </c>
    </row>
    <row r="88" spans="1:14">
      <c r="C88" s="3" t="s">
        <v>65</v>
      </c>
      <c r="D88" s="4">
        <f>+D86-D85</f>
        <v>0</v>
      </c>
      <c r="E88" s="3">
        <f t="shared" ref="E88:L88" si="10">+E86-E85</f>
        <v>0</v>
      </c>
      <c r="F88" s="3">
        <f t="shared" si="10"/>
        <v>0</v>
      </c>
      <c r="G88" s="3">
        <f t="shared" si="10"/>
        <v>0</v>
      </c>
      <c r="H88" s="3">
        <f t="shared" si="10"/>
        <v>0</v>
      </c>
      <c r="I88" s="3">
        <f t="shared" si="10"/>
        <v>0</v>
      </c>
      <c r="J88" s="3">
        <f t="shared" si="10"/>
        <v>0</v>
      </c>
      <c r="K88" s="3">
        <f t="shared" si="10"/>
        <v>0</v>
      </c>
      <c r="L88" s="3">
        <f t="shared" si="10"/>
        <v>0</v>
      </c>
    </row>
    <row r="90" spans="1:14">
      <c r="B90" s="3" t="s">
        <v>66</v>
      </c>
    </row>
    <row r="91" spans="1:14">
      <c r="D91" s="4" t="s">
        <v>90</v>
      </c>
      <c r="E91" s="3" t="s">
        <v>87</v>
      </c>
      <c r="F91" s="3" t="s">
        <v>67</v>
      </c>
      <c r="G91" s="3" t="s">
        <v>68</v>
      </c>
      <c r="H91" s="3" t="s">
        <v>69</v>
      </c>
      <c r="I91" s="3" t="s">
        <v>88</v>
      </c>
      <c r="J91" s="3" t="s">
        <v>70</v>
      </c>
      <c r="K91" s="3" t="s">
        <v>71</v>
      </c>
      <c r="M91" s="3" t="s">
        <v>72</v>
      </c>
      <c r="N91" s="3" t="s">
        <v>73</v>
      </c>
    </row>
    <row r="92" spans="1:14">
      <c r="A92" s="3" t="s">
        <v>74</v>
      </c>
      <c r="D92" s="4">
        <f>+H83-D83</f>
        <v>-16.479999999999997</v>
      </c>
      <c r="E92" s="8">
        <f>-E83+H83</f>
        <v>-35.339999999999996</v>
      </c>
      <c r="F92" s="8">
        <f>-F83+H83</f>
        <v>-15.350000000000001</v>
      </c>
      <c r="G92" s="8">
        <f>-G83+H83</f>
        <v>-22.759999999999998</v>
      </c>
      <c r="H92" s="8">
        <f>-H83+L83</f>
        <v>20.43</v>
      </c>
      <c r="I92" s="8">
        <f>-I83+L83</f>
        <v>4.4699999999999989</v>
      </c>
      <c r="J92" s="8">
        <f>-J83+L83</f>
        <v>-0.15999999999999659</v>
      </c>
      <c r="K92" s="8">
        <f>-K83+L83</f>
        <v>-3.8599999999999994</v>
      </c>
      <c r="L92" s="8"/>
      <c r="M92" s="8">
        <f>+F92-G92</f>
        <v>7.4099999999999966</v>
      </c>
      <c r="N92" s="8">
        <f>+J92-K92</f>
        <v>3.7000000000000028</v>
      </c>
    </row>
    <row r="93" spans="1:14">
      <c r="A93" s="3" t="s">
        <v>75</v>
      </c>
      <c r="F93" s="8"/>
      <c r="G93" s="8"/>
      <c r="H93" s="8"/>
      <c r="I93" s="8"/>
      <c r="J93" s="8"/>
      <c r="K93" s="8"/>
      <c r="L93" s="8"/>
      <c r="M93" s="8"/>
      <c r="N93" s="8"/>
    </row>
    <row r="94" spans="1:14">
      <c r="A94" s="3" t="s">
        <v>76</v>
      </c>
      <c r="D94" s="4">
        <f t="shared" ref="D94:K94" si="11">+D103-D92</f>
        <v>685.30000000000007</v>
      </c>
      <c r="E94" s="8">
        <f t="shared" si="11"/>
        <v>506.53999999999996</v>
      </c>
      <c r="F94" s="8">
        <f t="shared" si="11"/>
        <v>316.44</v>
      </c>
      <c r="G94" s="8">
        <f t="shared" si="11"/>
        <v>148.63999999999999</v>
      </c>
      <c r="H94" s="8">
        <f t="shared" si="11"/>
        <v>584.94000000000005</v>
      </c>
      <c r="I94" s="8">
        <f t="shared" si="11"/>
        <v>439.37</v>
      </c>
      <c r="J94" s="8">
        <f t="shared" si="11"/>
        <v>299.24</v>
      </c>
      <c r="K94" s="8">
        <f t="shared" si="11"/>
        <v>146.19999999999999</v>
      </c>
      <c r="L94" s="8"/>
      <c r="M94" s="8">
        <f>+F94-G94</f>
        <v>167.8</v>
      </c>
      <c r="N94" s="8">
        <f>+J94-K94</f>
        <v>153.04000000000002</v>
      </c>
    </row>
    <row r="95" spans="1:14">
      <c r="E95" s="22" t="s">
        <v>77</v>
      </c>
      <c r="F95" s="22" t="s">
        <v>77</v>
      </c>
      <c r="G95" s="22" t="s">
        <v>77</v>
      </c>
      <c r="H95" s="22" t="s">
        <v>77</v>
      </c>
      <c r="I95" s="22" t="s">
        <v>77</v>
      </c>
      <c r="J95" s="22" t="s">
        <v>77</v>
      </c>
      <c r="K95" s="22" t="s">
        <v>77</v>
      </c>
      <c r="L95" s="22"/>
      <c r="M95" s="22" t="s">
        <v>77</v>
      </c>
      <c r="N95" s="22" t="s">
        <v>77</v>
      </c>
    </row>
    <row r="96" spans="1:14">
      <c r="D96" s="4">
        <f t="shared" ref="D96:K96" si="12">+D94+D92</f>
        <v>668.82</v>
      </c>
      <c r="E96" s="8">
        <f t="shared" si="12"/>
        <v>471.2</v>
      </c>
      <c r="F96" s="8">
        <f t="shared" si="12"/>
        <v>301.08999999999997</v>
      </c>
      <c r="G96" s="8">
        <f t="shared" si="12"/>
        <v>125.88</v>
      </c>
      <c r="H96" s="8">
        <f t="shared" si="12"/>
        <v>605.37</v>
      </c>
      <c r="I96" s="8">
        <f t="shared" si="12"/>
        <v>443.84000000000003</v>
      </c>
      <c r="J96" s="8">
        <f t="shared" si="12"/>
        <v>299.08000000000004</v>
      </c>
      <c r="K96" s="8">
        <f t="shared" si="12"/>
        <v>142.33999999999997</v>
      </c>
      <c r="L96" s="8"/>
      <c r="M96" s="8">
        <f>+M94+M92</f>
        <v>175.21</v>
      </c>
      <c r="N96" s="8">
        <f>+N94+N92</f>
        <v>156.74</v>
      </c>
    </row>
    <row r="97" spans="1:14">
      <c r="F97" s="8"/>
      <c r="G97" s="8"/>
      <c r="H97" s="8"/>
      <c r="I97" s="8"/>
      <c r="J97" s="8"/>
      <c r="K97" s="8"/>
      <c r="L97" s="8"/>
      <c r="M97" s="8">
        <f>+F96-G96</f>
        <v>175.20999999999998</v>
      </c>
      <c r="N97" s="8">
        <f>+J96-K96</f>
        <v>156.74000000000007</v>
      </c>
    </row>
    <row r="98" spans="1:14">
      <c r="B98" s="3" t="s">
        <v>78</v>
      </c>
      <c r="F98" s="8"/>
      <c r="G98" s="8"/>
      <c r="H98" s="8"/>
      <c r="I98" s="8"/>
      <c r="J98" s="8"/>
      <c r="K98" s="8"/>
      <c r="L98" s="8"/>
      <c r="M98" s="8"/>
      <c r="N98" s="8"/>
    </row>
    <row r="99" spans="1:14">
      <c r="F99" s="8"/>
      <c r="G99" s="8"/>
      <c r="H99" s="8"/>
      <c r="I99" s="8"/>
      <c r="J99" s="8"/>
      <c r="K99" s="8"/>
      <c r="L99" s="8"/>
      <c r="M99" s="8"/>
      <c r="N99" s="8"/>
    </row>
    <row r="100" spans="1:14">
      <c r="A100" s="3" t="s">
        <v>74</v>
      </c>
      <c r="F100" s="8">
        <v>-23.61</v>
      </c>
      <c r="G100" s="8">
        <v>-38.97</v>
      </c>
      <c r="H100" s="8">
        <v>30.9</v>
      </c>
      <c r="I100" s="8"/>
      <c r="J100" s="8">
        <v>-2.5</v>
      </c>
      <c r="K100" s="8">
        <v>3.87</v>
      </c>
      <c r="L100" s="8"/>
      <c r="M100" s="8">
        <v>15.36</v>
      </c>
      <c r="N100" s="8">
        <v>-6.37</v>
      </c>
    </row>
    <row r="101" spans="1:14">
      <c r="A101" s="3" t="s">
        <v>76</v>
      </c>
      <c r="D101" s="4">
        <v>668.82</v>
      </c>
      <c r="E101" s="3">
        <v>471.2</v>
      </c>
      <c r="F101" s="8">
        <v>324.7</v>
      </c>
      <c r="G101" s="8">
        <v>164.85</v>
      </c>
      <c r="H101" s="8">
        <v>574.47</v>
      </c>
      <c r="I101" s="8">
        <v>443.84</v>
      </c>
      <c r="J101" s="8">
        <v>301.58</v>
      </c>
      <c r="K101" s="8">
        <v>138.47</v>
      </c>
      <c r="L101" s="8"/>
      <c r="M101" s="8">
        <v>159.85</v>
      </c>
      <c r="N101" s="8">
        <v>163.11000000000001</v>
      </c>
    </row>
    <row r="102" spans="1:14">
      <c r="E102" s="22" t="s">
        <v>77</v>
      </c>
      <c r="F102" s="22" t="s">
        <v>77</v>
      </c>
      <c r="G102" s="22" t="s">
        <v>77</v>
      </c>
      <c r="H102" s="22" t="s">
        <v>77</v>
      </c>
      <c r="I102" s="22" t="s">
        <v>77</v>
      </c>
      <c r="J102" s="22" t="s">
        <v>77</v>
      </c>
      <c r="K102" s="22" t="s">
        <v>77</v>
      </c>
      <c r="L102" s="22"/>
      <c r="M102" s="22" t="s">
        <v>77</v>
      </c>
      <c r="N102" s="22" t="s">
        <v>77</v>
      </c>
    </row>
    <row r="103" spans="1:14">
      <c r="C103" s="3" t="s">
        <v>54</v>
      </c>
      <c r="D103" s="4">
        <f t="shared" ref="D103:K103" si="13">+D100+D101</f>
        <v>668.82</v>
      </c>
      <c r="E103" s="8">
        <f t="shared" si="13"/>
        <v>471.2</v>
      </c>
      <c r="F103" s="8">
        <f t="shared" si="13"/>
        <v>301.08999999999997</v>
      </c>
      <c r="G103" s="8">
        <f t="shared" si="13"/>
        <v>125.88</v>
      </c>
      <c r="H103" s="8">
        <f t="shared" si="13"/>
        <v>605.37</v>
      </c>
      <c r="I103" s="8">
        <f t="shared" si="13"/>
        <v>443.84</v>
      </c>
      <c r="J103" s="8">
        <f t="shared" si="13"/>
        <v>299.08</v>
      </c>
      <c r="K103" s="8">
        <f t="shared" si="13"/>
        <v>142.34</v>
      </c>
      <c r="L103" s="8"/>
      <c r="M103" s="8">
        <f>+M100+M101</f>
        <v>175.20999999999998</v>
      </c>
      <c r="N103" s="8">
        <f>+N100+N101</f>
        <v>156.74</v>
      </c>
    </row>
    <row r="104" spans="1:14">
      <c r="C104" s="3" t="s">
        <v>79</v>
      </c>
      <c r="E104" s="3">
        <v>471.2</v>
      </c>
      <c r="F104" s="8">
        <v>301.08999999999997</v>
      </c>
      <c r="G104" s="8"/>
      <c r="H104" s="8">
        <v>605.37</v>
      </c>
      <c r="I104" s="8">
        <f>419.91+23.93</f>
        <v>443.84000000000003</v>
      </c>
      <c r="J104" s="8"/>
      <c r="K104" s="8"/>
      <c r="L104" s="8"/>
      <c r="M104" s="8"/>
      <c r="N104" s="8"/>
    </row>
    <row r="106" spans="1:14">
      <c r="C106" s="3" t="s">
        <v>80</v>
      </c>
      <c r="E106" s="8">
        <f t="shared" ref="E106:K106" si="14">+E103-E104</f>
        <v>0</v>
      </c>
      <c r="F106" s="8">
        <f t="shared" si="14"/>
        <v>0</v>
      </c>
      <c r="G106" s="8">
        <f t="shared" si="14"/>
        <v>125.88</v>
      </c>
      <c r="H106" s="8">
        <f t="shared" si="14"/>
        <v>0</v>
      </c>
      <c r="I106" s="8">
        <f t="shared" si="14"/>
        <v>0</v>
      </c>
      <c r="J106" s="8">
        <f t="shared" si="14"/>
        <v>299.08</v>
      </c>
      <c r="K106" s="8">
        <f t="shared" si="14"/>
        <v>142.34</v>
      </c>
      <c r="L106" s="8"/>
      <c r="M106" s="8">
        <f>+M103-M104</f>
        <v>175.20999999999998</v>
      </c>
      <c r="N106" s="8">
        <f>+N103-N104</f>
        <v>156.74</v>
      </c>
    </row>
    <row r="108" spans="1:14">
      <c r="C108" s="3" t="s">
        <v>81</v>
      </c>
      <c r="E108" s="8">
        <f t="shared" ref="E108:K108" si="15">+E96-E103</f>
        <v>0</v>
      </c>
      <c r="F108" s="8">
        <f t="shared" si="15"/>
        <v>0</v>
      </c>
      <c r="G108" s="8">
        <f t="shared" si="15"/>
        <v>0</v>
      </c>
      <c r="H108" s="8">
        <f t="shared" si="15"/>
        <v>0</v>
      </c>
      <c r="I108" s="8">
        <f t="shared" si="15"/>
        <v>0</v>
      </c>
      <c r="J108" s="8">
        <f t="shared" si="15"/>
        <v>0</v>
      </c>
      <c r="K108" s="8">
        <f t="shared" si="15"/>
        <v>0</v>
      </c>
      <c r="L108" s="8"/>
      <c r="M108" s="8">
        <f>+M96-M103</f>
        <v>0</v>
      </c>
      <c r="N108" s="8">
        <f>+N96-N103</f>
        <v>0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QTR Sep 16</vt:lpstr>
      <vt:lpstr>Quarterly</vt:lpstr>
      <vt:lpstr>Segment_P&amp;L 2005</vt:lpstr>
      <vt:lpstr>GRP RECOVERY</vt:lpstr>
      <vt:lpstr>Seg PL MAR 2007</vt:lpstr>
      <vt:lpstr>Slides</vt:lpstr>
      <vt:lpstr>oth income 2005</vt:lpstr>
      <vt:lpstr>LSC PROCESS</vt:lpstr>
      <vt:lpstr>stock</vt:lpstr>
      <vt:lpstr>Tbp_data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pandya</dc:creator>
  <cp:lastModifiedBy>Mamta</cp:lastModifiedBy>
  <cp:lastPrinted>2016-10-25T04:02:12Z</cp:lastPrinted>
  <dcterms:created xsi:type="dcterms:W3CDTF">2002-01-22T04:32:31Z</dcterms:created>
  <dcterms:modified xsi:type="dcterms:W3CDTF">2016-10-27T12:06:42Z</dcterms:modified>
</cp:coreProperties>
</file>